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0.xml" ContentType="application/vnd.openxmlformats-officedocument.spreadsheetml.externalLink+xml"/>
  <Override PartName="/xl/externalLinks/externalLink181.xml" ContentType="application/vnd.openxmlformats-officedocument.spreadsheetml.externalLink+xml"/>
  <Override PartName="/xl/externalLinks/externalLink182.xml" ContentType="application/vnd.openxmlformats-officedocument.spreadsheetml.externalLink+xml"/>
  <Override PartName="/xl/externalLinks/externalLink183.xml" ContentType="application/vnd.openxmlformats-officedocument.spreadsheetml.externalLink+xml"/>
  <Override PartName="/xl/externalLinks/externalLink184.xml" ContentType="application/vnd.openxmlformats-officedocument.spreadsheetml.externalLink+xml"/>
  <Override PartName="/xl/externalLinks/externalLink185.xml" ContentType="application/vnd.openxmlformats-officedocument.spreadsheetml.externalLink+xml"/>
  <Override PartName="/xl/externalLinks/externalLink186.xml" ContentType="application/vnd.openxmlformats-officedocument.spreadsheetml.externalLink+xml"/>
  <Override PartName="/xl/externalLinks/externalLink187.xml" ContentType="application/vnd.openxmlformats-officedocument.spreadsheetml.externalLink+xml"/>
  <Override PartName="/xl/externalLinks/externalLink188.xml" ContentType="application/vnd.openxmlformats-officedocument.spreadsheetml.externalLink+xml"/>
  <Override PartName="/xl/externalLinks/externalLink189.xml" ContentType="application/vnd.openxmlformats-officedocument.spreadsheetml.externalLink+xml"/>
  <Override PartName="/xl/externalLinks/externalLink190.xml" ContentType="application/vnd.openxmlformats-officedocument.spreadsheetml.externalLink+xml"/>
  <Override PartName="/xl/externalLinks/externalLink191.xml" ContentType="application/vnd.openxmlformats-officedocument.spreadsheetml.externalLink+xml"/>
  <Override PartName="/xl/externalLinks/externalLink192.xml" ContentType="application/vnd.openxmlformats-officedocument.spreadsheetml.externalLink+xml"/>
  <Override PartName="/xl/externalLinks/externalLink193.xml" ContentType="application/vnd.openxmlformats-officedocument.spreadsheetml.externalLink+xml"/>
  <Override PartName="/xl/externalLinks/externalLink194.xml" ContentType="application/vnd.openxmlformats-officedocument.spreadsheetml.externalLink+xml"/>
  <Override PartName="/xl/externalLinks/externalLink195.xml" ContentType="application/vnd.openxmlformats-officedocument.spreadsheetml.externalLink+xml"/>
  <Override PartName="/xl/externalLinks/externalLink196.xml" ContentType="application/vnd.openxmlformats-officedocument.spreadsheetml.externalLink+xml"/>
  <Override PartName="/xl/externalLinks/externalLink197.xml" ContentType="application/vnd.openxmlformats-officedocument.spreadsheetml.externalLink+xml"/>
  <Override PartName="/xl/externalLinks/externalLink198.xml" ContentType="application/vnd.openxmlformats-officedocument.spreadsheetml.externalLink+xml"/>
  <Override PartName="/xl/externalLinks/externalLink199.xml" ContentType="application/vnd.openxmlformats-officedocument.spreadsheetml.externalLink+xml"/>
  <Override PartName="/xl/externalLinks/externalLink200.xml" ContentType="application/vnd.openxmlformats-officedocument.spreadsheetml.externalLink+xml"/>
  <Override PartName="/xl/externalLinks/externalLink201.xml" ContentType="application/vnd.openxmlformats-officedocument.spreadsheetml.externalLink+xml"/>
  <Override PartName="/xl/externalLinks/externalLink202.xml" ContentType="application/vnd.openxmlformats-officedocument.spreadsheetml.externalLink+xml"/>
  <Override PartName="/xl/externalLinks/externalLink203.xml" ContentType="application/vnd.openxmlformats-officedocument.spreadsheetml.externalLink+xml"/>
  <Override PartName="/xl/externalLinks/externalLink204.xml" ContentType="application/vnd.openxmlformats-officedocument.spreadsheetml.externalLink+xml"/>
  <Override PartName="/xl/externalLinks/externalLink205.xml" ContentType="application/vnd.openxmlformats-officedocument.spreadsheetml.externalLink+xml"/>
  <Override PartName="/xl/externalLinks/externalLink206.xml" ContentType="application/vnd.openxmlformats-officedocument.spreadsheetml.externalLink+xml"/>
  <Override PartName="/xl/externalLinks/externalLink207.xml" ContentType="application/vnd.openxmlformats-officedocument.spreadsheetml.externalLink+xml"/>
  <Override PartName="/xl/externalLinks/externalLink208.xml" ContentType="application/vnd.openxmlformats-officedocument.spreadsheetml.externalLink+xml"/>
  <Override PartName="/xl/externalLinks/externalLink209.xml" ContentType="application/vnd.openxmlformats-officedocument.spreadsheetml.externalLink+xml"/>
  <Override PartName="/xl/externalLinks/externalLink210.xml" ContentType="application/vnd.openxmlformats-officedocument.spreadsheetml.externalLink+xml"/>
  <Override PartName="/xl/externalLinks/externalLink211.xml" ContentType="application/vnd.openxmlformats-officedocument.spreadsheetml.externalLink+xml"/>
  <Override PartName="/xl/externalLinks/externalLink212.xml" ContentType="application/vnd.openxmlformats-officedocument.spreadsheetml.externalLink+xml"/>
  <Override PartName="/xl/externalLinks/externalLink213.xml" ContentType="application/vnd.openxmlformats-officedocument.spreadsheetml.externalLink+xml"/>
  <Override PartName="/xl/externalLinks/externalLink214.xml" ContentType="application/vnd.openxmlformats-officedocument.spreadsheetml.externalLink+xml"/>
  <Override PartName="/xl/externalLinks/externalLink215.xml" ContentType="application/vnd.openxmlformats-officedocument.spreadsheetml.externalLink+xml"/>
  <Override PartName="/xl/externalLinks/externalLink216.xml" ContentType="application/vnd.openxmlformats-officedocument.spreadsheetml.externalLink+xml"/>
  <Override PartName="/xl/externalLinks/externalLink217.xml" ContentType="application/vnd.openxmlformats-officedocument.spreadsheetml.externalLink+xml"/>
  <Override PartName="/xl/externalLinks/externalLink218.xml" ContentType="application/vnd.openxmlformats-officedocument.spreadsheetml.externalLink+xml"/>
  <Override PartName="/xl/externalLinks/externalLink219.xml" ContentType="application/vnd.openxmlformats-officedocument.spreadsheetml.externalLink+xml"/>
  <Override PartName="/xl/externalLinks/externalLink220.xml" ContentType="application/vnd.openxmlformats-officedocument.spreadsheetml.externalLink+xml"/>
  <Override PartName="/xl/externalLinks/externalLink221.xml" ContentType="application/vnd.openxmlformats-officedocument.spreadsheetml.externalLink+xml"/>
  <Override PartName="/xl/externalLinks/externalLink222.xml" ContentType="application/vnd.openxmlformats-officedocument.spreadsheetml.externalLink+xml"/>
  <Override PartName="/xl/externalLinks/externalLink223.xml" ContentType="application/vnd.openxmlformats-officedocument.spreadsheetml.externalLink+xml"/>
  <Override PartName="/xl/externalLinks/externalLink224.xml" ContentType="application/vnd.openxmlformats-officedocument.spreadsheetml.externalLink+xml"/>
  <Override PartName="/xl/externalLinks/externalLink225.xml" ContentType="application/vnd.openxmlformats-officedocument.spreadsheetml.externalLink+xml"/>
  <Override PartName="/xl/externalLinks/externalLink226.xml" ContentType="application/vnd.openxmlformats-officedocument.spreadsheetml.externalLink+xml"/>
  <Override PartName="/xl/externalLinks/externalLink227.xml" ContentType="application/vnd.openxmlformats-officedocument.spreadsheetml.externalLink+xml"/>
  <Override PartName="/xl/externalLinks/externalLink228.xml" ContentType="application/vnd.openxmlformats-officedocument.spreadsheetml.externalLink+xml"/>
  <Override PartName="/xl/externalLinks/externalLink229.xml" ContentType="application/vnd.openxmlformats-officedocument.spreadsheetml.externalLink+xml"/>
  <Override PartName="/xl/externalLinks/externalLink230.xml" ContentType="application/vnd.openxmlformats-officedocument.spreadsheetml.externalLink+xml"/>
  <Override PartName="/xl/externalLinks/externalLink231.xml" ContentType="application/vnd.openxmlformats-officedocument.spreadsheetml.externalLink+xml"/>
  <Override PartName="/xl/externalLinks/externalLink232.xml" ContentType="application/vnd.openxmlformats-officedocument.spreadsheetml.externalLink+xml"/>
  <Override PartName="/xl/externalLinks/externalLink233.xml" ContentType="application/vnd.openxmlformats-officedocument.spreadsheetml.externalLink+xml"/>
  <Override PartName="/xl/externalLinks/externalLink234.xml" ContentType="application/vnd.openxmlformats-officedocument.spreadsheetml.externalLink+xml"/>
  <Override PartName="/xl/externalLinks/externalLink235.xml" ContentType="application/vnd.openxmlformats-officedocument.spreadsheetml.externalLink+xml"/>
  <Override PartName="/xl/externalLinks/externalLink236.xml" ContentType="application/vnd.openxmlformats-officedocument.spreadsheetml.externalLink+xml"/>
  <Override PartName="/xl/externalLinks/externalLink237.xml" ContentType="application/vnd.openxmlformats-officedocument.spreadsheetml.externalLink+xml"/>
  <Override PartName="/xl/externalLinks/externalLink238.xml" ContentType="application/vnd.openxmlformats-officedocument.spreadsheetml.externalLink+xml"/>
  <Override PartName="/xl/externalLinks/externalLink239.xml" ContentType="application/vnd.openxmlformats-officedocument.spreadsheetml.externalLink+xml"/>
  <Override PartName="/xl/externalLinks/externalLink240.xml" ContentType="application/vnd.openxmlformats-officedocument.spreadsheetml.externalLink+xml"/>
  <Override PartName="/xl/externalLinks/externalLink241.xml" ContentType="application/vnd.openxmlformats-officedocument.spreadsheetml.externalLink+xml"/>
  <Override PartName="/xl/externalLinks/externalLink242.xml" ContentType="application/vnd.openxmlformats-officedocument.spreadsheetml.externalLink+xml"/>
  <Override PartName="/xl/externalLinks/externalLink243.xml" ContentType="application/vnd.openxmlformats-officedocument.spreadsheetml.externalLink+xml"/>
  <Override PartName="/xl/externalLinks/externalLink244.xml" ContentType="application/vnd.openxmlformats-officedocument.spreadsheetml.externalLink+xml"/>
  <Override PartName="/xl/externalLinks/externalLink245.xml" ContentType="application/vnd.openxmlformats-officedocument.spreadsheetml.externalLink+xml"/>
  <Override PartName="/xl/externalLinks/externalLink246.xml" ContentType="application/vnd.openxmlformats-officedocument.spreadsheetml.externalLink+xml"/>
  <Override PartName="/xl/externalLinks/externalLink247.xml" ContentType="application/vnd.openxmlformats-officedocument.spreadsheetml.externalLink+xml"/>
  <Override PartName="/xl/externalLinks/externalLink248.xml" ContentType="application/vnd.openxmlformats-officedocument.spreadsheetml.externalLink+xml"/>
  <Override PartName="/xl/externalLinks/externalLink249.xml" ContentType="application/vnd.openxmlformats-officedocument.spreadsheetml.externalLink+xml"/>
  <Override PartName="/xl/externalLinks/externalLink250.xml" ContentType="application/vnd.openxmlformats-officedocument.spreadsheetml.externalLink+xml"/>
  <Override PartName="/xl/externalLinks/externalLink251.xml" ContentType="application/vnd.openxmlformats-officedocument.spreadsheetml.externalLink+xml"/>
  <Override PartName="/xl/externalLinks/externalLink252.xml" ContentType="application/vnd.openxmlformats-officedocument.spreadsheetml.externalLink+xml"/>
  <Override PartName="/xl/externalLinks/externalLink253.xml" ContentType="application/vnd.openxmlformats-officedocument.spreadsheetml.externalLink+xml"/>
  <Override PartName="/xl/externalLinks/externalLink254.xml" ContentType="application/vnd.openxmlformats-officedocument.spreadsheetml.externalLink+xml"/>
  <Override PartName="/xl/externalLinks/externalLink255.xml" ContentType="application/vnd.openxmlformats-officedocument.spreadsheetml.externalLink+xml"/>
  <Override PartName="/xl/externalLinks/externalLink256.xml" ContentType="application/vnd.openxmlformats-officedocument.spreadsheetml.externalLink+xml"/>
  <Override PartName="/xl/externalLinks/externalLink257.xml" ContentType="application/vnd.openxmlformats-officedocument.spreadsheetml.externalLink+xml"/>
  <Override PartName="/xl/externalLinks/externalLink258.xml" ContentType="application/vnd.openxmlformats-officedocument.spreadsheetml.externalLink+xml"/>
  <Override PartName="/xl/externalLinks/externalLink259.xml" ContentType="application/vnd.openxmlformats-officedocument.spreadsheetml.externalLink+xml"/>
  <Override PartName="/xl/externalLinks/externalLink260.xml" ContentType="application/vnd.openxmlformats-officedocument.spreadsheetml.externalLink+xml"/>
  <Override PartName="/xl/externalLinks/externalLink261.xml" ContentType="application/vnd.openxmlformats-officedocument.spreadsheetml.externalLink+xml"/>
  <Override PartName="/xl/externalLinks/externalLink262.xml" ContentType="application/vnd.openxmlformats-officedocument.spreadsheetml.externalLink+xml"/>
  <Override PartName="/xl/externalLinks/externalLink263.xml" ContentType="application/vnd.openxmlformats-officedocument.spreadsheetml.externalLink+xml"/>
  <Override PartName="/xl/externalLinks/externalLink264.xml" ContentType="application/vnd.openxmlformats-officedocument.spreadsheetml.externalLink+xml"/>
  <Override PartName="/xl/externalLinks/externalLink265.xml" ContentType="application/vnd.openxmlformats-officedocument.spreadsheetml.externalLink+xml"/>
  <Override PartName="/xl/externalLinks/externalLink266.xml" ContentType="application/vnd.openxmlformats-officedocument.spreadsheetml.externalLink+xml"/>
  <Override PartName="/xl/externalLinks/externalLink267.xml" ContentType="application/vnd.openxmlformats-officedocument.spreadsheetml.externalLink+xml"/>
  <Override PartName="/xl/externalLinks/externalLink268.xml" ContentType="application/vnd.openxmlformats-officedocument.spreadsheetml.externalLink+xml"/>
  <Override PartName="/xl/externalLinks/externalLink269.xml" ContentType="application/vnd.openxmlformats-officedocument.spreadsheetml.externalLink+xml"/>
  <Override PartName="/xl/externalLinks/externalLink270.xml" ContentType="application/vnd.openxmlformats-officedocument.spreadsheetml.externalLink+xml"/>
  <Override PartName="/xl/externalLinks/externalLink271.xml" ContentType="application/vnd.openxmlformats-officedocument.spreadsheetml.externalLink+xml"/>
  <Override PartName="/xl/externalLinks/externalLink272.xml" ContentType="application/vnd.openxmlformats-officedocument.spreadsheetml.externalLink+xml"/>
  <Override PartName="/xl/externalLinks/externalLink273.xml" ContentType="application/vnd.openxmlformats-officedocument.spreadsheetml.externalLink+xml"/>
  <Override PartName="/xl/externalLinks/externalLink274.xml" ContentType="application/vnd.openxmlformats-officedocument.spreadsheetml.externalLink+xml"/>
  <Override PartName="/xl/externalLinks/externalLink275.xml" ContentType="application/vnd.openxmlformats-officedocument.spreadsheetml.externalLink+xml"/>
  <Override PartName="/xl/externalLinks/externalLink276.xml" ContentType="application/vnd.openxmlformats-officedocument.spreadsheetml.externalLink+xml"/>
  <Override PartName="/xl/externalLinks/externalLink277.xml" ContentType="application/vnd.openxmlformats-officedocument.spreadsheetml.externalLink+xml"/>
  <Override PartName="/xl/externalLinks/externalLink278.xml" ContentType="application/vnd.openxmlformats-officedocument.spreadsheetml.externalLink+xml"/>
  <Override PartName="/xl/externalLinks/externalLink279.xml" ContentType="application/vnd.openxmlformats-officedocument.spreadsheetml.externalLink+xml"/>
  <Override PartName="/xl/externalLinks/externalLink280.xml" ContentType="application/vnd.openxmlformats-officedocument.spreadsheetml.externalLink+xml"/>
  <Override PartName="/xl/externalLinks/externalLink281.xml" ContentType="application/vnd.openxmlformats-officedocument.spreadsheetml.externalLink+xml"/>
  <Override PartName="/xl/externalLinks/externalLink282.xml" ContentType="application/vnd.openxmlformats-officedocument.spreadsheetml.externalLink+xml"/>
  <Override PartName="/xl/externalLinks/externalLink283.xml" ContentType="application/vnd.openxmlformats-officedocument.spreadsheetml.externalLink+xml"/>
  <Override PartName="/xl/externalLinks/externalLink284.xml" ContentType="application/vnd.openxmlformats-officedocument.spreadsheetml.externalLink+xml"/>
  <Override PartName="/xl/externalLinks/externalLink285.xml" ContentType="application/vnd.openxmlformats-officedocument.spreadsheetml.externalLink+xml"/>
  <Override PartName="/xl/externalLinks/externalLink286.xml" ContentType="application/vnd.openxmlformats-officedocument.spreadsheetml.externalLink+xml"/>
  <Override PartName="/xl/externalLinks/externalLink287.xml" ContentType="application/vnd.openxmlformats-officedocument.spreadsheetml.externalLink+xml"/>
  <Override PartName="/xl/externalLinks/externalLink288.xml" ContentType="application/vnd.openxmlformats-officedocument.spreadsheetml.externalLink+xml"/>
  <Override PartName="/xl/externalLinks/externalLink289.xml" ContentType="application/vnd.openxmlformats-officedocument.spreadsheetml.externalLink+xml"/>
  <Override PartName="/xl/externalLinks/externalLink290.xml" ContentType="application/vnd.openxmlformats-officedocument.spreadsheetml.externalLink+xml"/>
  <Override PartName="/xl/externalLinks/externalLink291.xml" ContentType="application/vnd.openxmlformats-officedocument.spreadsheetml.externalLink+xml"/>
  <Override PartName="/xl/externalLinks/externalLink292.xml" ContentType="application/vnd.openxmlformats-officedocument.spreadsheetml.externalLink+xml"/>
  <Override PartName="/xl/externalLinks/externalLink293.xml" ContentType="application/vnd.openxmlformats-officedocument.spreadsheetml.externalLink+xml"/>
  <Override PartName="/xl/externalLinks/externalLink294.xml" ContentType="application/vnd.openxmlformats-officedocument.spreadsheetml.externalLink+xml"/>
  <Override PartName="/xl/externalLinks/externalLink295.xml" ContentType="application/vnd.openxmlformats-officedocument.spreadsheetml.externalLink+xml"/>
  <Override PartName="/xl/externalLinks/externalLink296.xml" ContentType="application/vnd.openxmlformats-officedocument.spreadsheetml.externalLink+xml"/>
  <Override PartName="/xl/externalLinks/externalLink297.xml" ContentType="application/vnd.openxmlformats-officedocument.spreadsheetml.externalLink+xml"/>
  <Override PartName="/xl/externalLinks/externalLink298.xml" ContentType="application/vnd.openxmlformats-officedocument.spreadsheetml.externalLink+xml"/>
  <Override PartName="/xl/externalLinks/externalLink299.xml" ContentType="application/vnd.openxmlformats-officedocument.spreadsheetml.externalLink+xml"/>
  <Override PartName="/xl/externalLinks/externalLink300.xml" ContentType="application/vnd.openxmlformats-officedocument.spreadsheetml.externalLink+xml"/>
  <Override PartName="/xl/externalLinks/externalLink301.xml" ContentType="application/vnd.openxmlformats-officedocument.spreadsheetml.externalLink+xml"/>
  <Override PartName="/xl/externalLinks/externalLink302.xml" ContentType="application/vnd.openxmlformats-officedocument.spreadsheetml.externalLink+xml"/>
  <Override PartName="/xl/externalLinks/externalLink303.xml" ContentType="application/vnd.openxmlformats-officedocument.spreadsheetml.externalLink+xml"/>
  <Override PartName="/xl/externalLinks/externalLink304.xml" ContentType="application/vnd.openxmlformats-officedocument.spreadsheetml.externalLink+xml"/>
  <Override PartName="/xl/externalLinks/externalLink305.xml" ContentType="application/vnd.openxmlformats-officedocument.spreadsheetml.externalLink+xml"/>
  <Override PartName="/xl/externalLinks/externalLink306.xml" ContentType="application/vnd.openxmlformats-officedocument.spreadsheetml.externalLink+xml"/>
  <Override PartName="/xl/externalLinks/externalLink307.xml" ContentType="application/vnd.openxmlformats-officedocument.spreadsheetml.externalLink+xml"/>
  <Override PartName="/xl/externalLinks/externalLink308.xml" ContentType="application/vnd.openxmlformats-officedocument.spreadsheetml.externalLink+xml"/>
  <Override PartName="/xl/externalLinks/externalLink309.xml" ContentType="application/vnd.openxmlformats-officedocument.spreadsheetml.externalLink+xml"/>
  <Override PartName="/xl/externalLinks/externalLink310.xml" ContentType="application/vnd.openxmlformats-officedocument.spreadsheetml.externalLink+xml"/>
  <Override PartName="/xl/externalLinks/externalLink311.xml" ContentType="application/vnd.openxmlformats-officedocument.spreadsheetml.externalLink+xml"/>
  <Override PartName="/xl/externalLinks/externalLink312.xml" ContentType="application/vnd.openxmlformats-officedocument.spreadsheetml.externalLink+xml"/>
  <Override PartName="/xl/externalLinks/externalLink313.xml" ContentType="application/vnd.openxmlformats-officedocument.spreadsheetml.externalLink+xml"/>
  <Override PartName="/xl/externalLinks/externalLink314.xml" ContentType="application/vnd.openxmlformats-officedocument.spreadsheetml.externalLink+xml"/>
  <Override PartName="/xl/externalLinks/externalLink315.xml" ContentType="application/vnd.openxmlformats-officedocument.spreadsheetml.externalLink+xml"/>
  <Override PartName="/xl/externalLinks/externalLink316.xml" ContentType="application/vnd.openxmlformats-officedocument.spreadsheetml.externalLink+xml"/>
  <Override PartName="/xl/externalLinks/externalLink317.xml" ContentType="application/vnd.openxmlformats-officedocument.spreadsheetml.externalLink+xml"/>
  <Override PartName="/xl/externalLinks/externalLink318.xml" ContentType="application/vnd.openxmlformats-officedocument.spreadsheetml.externalLink+xml"/>
  <Override PartName="/xl/externalLinks/externalLink319.xml" ContentType="application/vnd.openxmlformats-officedocument.spreadsheetml.externalLink+xml"/>
  <Override PartName="/xl/externalLinks/externalLink320.xml" ContentType="application/vnd.openxmlformats-officedocument.spreadsheetml.externalLink+xml"/>
  <Override PartName="/xl/externalLinks/externalLink321.xml" ContentType="application/vnd.openxmlformats-officedocument.spreadsheetml.externalLink+xml"/>
  <Override PartName="/xl/externalLinks/externalLink322.xml" ContentType="application/vnd.openxmlformats-officedocument.spreadsheetml.externalLink+xml"/>
  <Override PartName="/xl/externalLinks/externalLink323.xml" ContentType="application/vnd.openxmlformats-officedocument.spreadsheetml.externalLink+xml"/>
  <Override PartName="/xl/externalLinks/externalLink324.xml" ContentType="application/vnd.openxmlformats-officedocument.spreadsheetml.externalLink+xml"/>
  <Override PartName="/xl/externalLinks/externalLink325.xml" ContentType="application/vnd.openxmlformats-officedocument.spreadsheetml.externalLink+xml"/>
  <Override PartName="/xl/externalLinks/externalLink326.xml" ContentType="application/vnd.openxmlformats-officedocument.spreadsheetml.externalLink+xml"/>
  <Override PartName="/xl/externalLinks/externalLink327.xml" ContentType="application/vnd.openxmlformats-officedocument.spreadsheetml.externalLink+xml"/>
  <Override PartName="/xl/externalLinks/externalLink328.xml" ContentType="application/vnd.openxmlformats-officedocument.spreadsheetml.externalLink+xml"/>
  <Override PartName="/xl/externalLinks/externalLink329.xml" ContentType="application/vnd.openxmlformats-officedocument.spreadsheetml.externalLink+xml"/>
  <Override PartName="/xl/externalLinks/externalLink330.xml" ContentType="application/vnd.openxmlformats-officedocument.spreadsheetml.externalLink+xml"/>
  <Override PartName="/xl/externalLinks/externalLink331.xml" ContentType="application/vnd.openxmlformats-officedocument.spreadsheetml.externalLink+xml"/>
  <Override PartName="/xl/externalLinks/externalLink332.xml" ContentType="application/vnd.openxmlformats-officedocument.spreadsheetml.externalLink+xml"/>
  <Override PartName="/xl/externalLinks/externalLink333.xml" ContentType="application/vnd.openxmlformats-officedocument.spreadsheetml.externalLink+xml"/>
  <Override PartName="/xl/externalLinks/externalLink334.xml" ContentType="application/vnd.openxmlformats-officedocument.spreadsheetml.externalLink+xml"/>
  <Override PartName="/xl/externalLinks/externalLink335.xml" ContentType="application/vnd.openxmlformats-officedocument.spreadsheetml.externalLink+xml"/>
  <Override PartName="/xl/externalLinks/externalLink336.xml" ContentType="application/vnd.openxmlformats-officedocument.spreadsheetml.externalLink+xml"/>
  <Override PartName="/xl/externalLinks/externalLink337.xml" ContentType="application/vnd.openxmlformats-officedocument.spreadsheetml.externalLink+xml"/>
  <Override PartName="/xl/externalLinks/externalLink338.xml" ContentType="application/vnd.openxmlformats-officedocument.spreadsheetml.externalLink+xml"/>
  <Override PartName="/xl/externalLinks/externalLink339.xml" ContentType="application/vnd.openxmlformats-officedocument.spreadsheetml.externalLink+xml"/>
  <Override PartName="/xl/externalLinks/externalLink340.xml" ContentType="application/vnd.openxmlformats-officedocument.spreadsheetml.externalLink+xml"/>
  <Override PartName="/xl/externalLinks/externalLink341.xml" ContentType="application/vnd.openxmlformats-officedocument.spreadsheetml.externalLink+xml"/>
  <Override PartName="/xl/externalLinks/externalLink342.xml" ContentType="application/vnd.openxmlformats-officedocument.spreadsheetml.externalLink+xml"/>
  <Override PartName="/xl/externalLinks/externalLink343.xml" ContentType="application/vnd.openxmlformats-officedocument.spreadsheetml.externalLink+xml"/>
  <Override PartName="/xl/externalLinks/externalLink344.xml" ContentType="application/vnd.openxmlformats-officedocument.spreadsheetml.externalLink+xml"/>
  <Override PartName="/xl/externalLinks/externalLink345.xml" ContentType="application/vnd.openxmlformats-officedocument.spreadsheetml.externalLink+xml"/>
  <Override PartName="/xl/externalLinks/externalLink346.xml" ContentType="application/vnd.openxmlformats-officedocument.spreadsheetml.externalLink+xml"/>
  <Override PartName="/xl/externalLinks/externalLink347.xml" ContentType="application/vnd.openxmlformats-officedocument.spreadsheetml.externalLink+xml"/>
  <Override PartName="/xl/externalLinks/externalLink348.xml" ContentType="application/vnd.openxmlformats-officedocument.spreadsheetml.externalLink+xml"/>
  <Override PartName="/xl/externalLinks/externalLink349.xml" ContentType="application/vnd.openxmlformats-officedocument.spreadsheetml.externalLink+xml"/>
  <Override PartName="/xl/externalLinks/externalLink350.xml" ContentType="application/vnd.openxmlformats-officedocument.spreadsheetml.externalLink+xml"/>
  <Override PartName="/xl/externalLinks/externalLink351.xml" ContentType="application/vnd.openxmlformats-officedocument.spreadsheetml.externalLink+xml"/>
  <Override PartName="/xl/externalLinks/externalLink352.xml" ContentType="application/vnd.openxmlformats-officedocument.spreadsheetml.externalLink+xml"/>
  <Override PartName="/xl/externalLinks/externalLink353.xml" ContentType="application/vnd.openxmlformats-officedocument.spreadsheetml.externalLink+xml"/>
  <Override PartName="/xl/externalLinks/externalLink354.xml" ContentType="application/vnd.openxmlformats-officedocument.spreadsheetml.externalLink+xml"/>
  <Override PartName="/xl/externalLinks/externalLink355.xml" ContentType="application/vnd.openxmlformats-officedocument.spreadsheetml.externalLink+xml"/>
  <Override PartName="/xl/externalLinks/externalLink356.xml" ContentType="application/vnd.openxmlformats-officedocument.spreadsheetml.externalLink+xml"/>
  <Override PartName="/xl/externalLinks/externalLink357.xml" ContentType="application/vnd.openxmlformats-officedocument.spreadsheetml.externalLink+xml"/>
  <Override PartName="/xl/externalLinks/externalLink358.xml" ContentType="application/vnd.openxmlformats-officedocument.spreadsheetml.externalLink+xml"/>
  <Override PartName="/xl/externalLinks/externalLink359.xml" ContentType="application/vnd.openxmlformats-officedocument.spreadsheetml.externalLink+xml"/>
  <Override PartName="/xl/externalLinks/externalLink360.xml" ContentType="application/vnd.openxmlformats-officedocument.spreadsheetml.externalLink+xml"/>
  <Override PartName="/xl/externalLinks/externalLink361.xml" ContentType="application/vnd.openxmlformats-officedocument.spreadsheetml.externalLink+xml"/>
  <Override PartName="/xl/externalLinks/externalLink362.xml" ContentType="application/vnd.openxmlformats-officedocument.spreadsheetml.externalLink+xml"/>
  <Override PartName="/xl/externalLinks/externalLink363.xml" ContentType="application/vnd.openxmlformats-officedocument.spreadsheetml.externalLink+xml"/>
  <Override PartName="/xl/externalLinks/externalLink364.xml" ContentType="application/vnd.openxmlformats-officedocument.spreadsheetml.externalLink+xml"/>
  <Override PartName="/xl/externalLinks/externalLink365.xml" ContentType="application/vnd.openxmlformats-officedocument.spreadsheetml.externalLink+xml"/>
  <Override PartName="/xl/externalLinks/externalLink366.xml" ContentType="application/vnd.openxmlformats-officedocument.spreadsheetml.externalLink+xml"/>
  <Override PartName="/xl/externalLinks/externalLink367.xml" ContentType="application/vnd.openxmlformats-officedocument.spreadsheetml.externalLink+xml"/>
  <Override PartName="/xl/externalLinks/externalLink368.xml" ContentType="application/vnd.openxmlformats-officedocument.spreadsheetml.externalLink+xml"/>
  <Override PartName="/xl/externalLinks/externalLink369.xml" ContentType="application/vnd.openxmlformats-officedocument.spreadsheetml.externalLink+xml"/>
  <Override PartName="/xl/externalLinks/externalLink370.xml" ContentType="application/vnd.openxmlformats-officedocument.spreadsheetml.externalLink+xml"/>
  <Override PartName="/xl/externalLinks/externalLink371.xml" ContentType="application/vnd.openxmlformats-officedocument.spreadsheetml.externalLink+xml"/>
  <Override PartName="/xl/externalLinks/externalLink372.xml" ContentType="application/vnd.openxmlformats-officedocument.spreadsheetml.externalLink+xml"/>
  <Override PartName="/xl/externalLinks/externalLink373.xml" ContentType="application/vnd.openxmlformats-officedocument.spreadsheetml.externalLink+xml"/>
  <Override PartName="/xl/externalLinks/externalLink374.xml" ContentType="application/vnd.openxmlformats-officedocument.spreadsheetml.externalLink+xml"/>
  <Override PartName="/xl/externalLinks/externalLink375.xml" ContentType="application/vnd.openxmlformats-officedocument.spreadsheetml.externalLink+xml"/>
  <Override PartName="/xl/externalLinks/externalLink376.xml" ContentType="application/vnd.openxmlformats-officedocument.spreadsheetml.externalLink+xml"/>
  <Override PartName="/xl/externalLinks/externalLink377.xml" ContentType="application/vnd.openxmlformats-officedocument.spreadsheetml.externalLink+xml"/>
  <Override PartName="/xl/externalLinks/externalLink378.xml" ContentType="application/vnd.openxmlformats-officedocument.spreadsheetml.externalLink+xml"/>
  <Override PartName="/xl/externalLinks/externalLink379.xml" ContentType="application/vnd.openxmlformats-officedocument.spreadsheetml.externalLink+xml"/>
  <Override PartName="/xl/externalLinks/externalLink380.xml" ContentType="application/vnd.openxmlformats-officedocument.spreadsheetml.externalLink+xml"/>
  <Override PartName="/xl/externalLinks/externalLink381.xml" ContentType="application/vnd.openxmlformats-officedocument.spreadsheetml.externalLink+xml"/>
  <Override PartName="/xl/externalLinks/externalLink382.xml" ContentType="application/vnd.openxmlformats-officedocument.spreadsheetml.externalLink+xml"/>
  <Override PartName="/xl/externalLinks/externalLink383.xml" ContentType="application/vnd.openxmlformats-officedocument.spreadsheetml.externalLink+xml"/>
  <Override PartName="/xl/externalLinks/externalLink384.xml" ContentType="application/vnd.openxmlformats-officedocument.spreadsheetml.externalLink+xml"/>
  <Override PartName="/xl/externalLinks/externalLink385.xml" ContentType="application/vnd.openxmlformats-officedocument.spreadsheetml.externalLink+xml"/>
  <Override PartName="/xl/externalLinks/externalLink386.xml" ContentType="application/vnd.openxmlformats-officedocument.spreadsheetml.externalLink+xml"/>
  <Override PartName="/xl/externalLinks/externalLink387.xml" ContentType="application/vnd.openxmlformats-officedocument.spreadsheetml.externalLink+xml"/>
  <Override PartName="/xl/externalLinks/externalLink388.xml" ContentType="application/vnd.openxmlformats-officedocument.spreadsheetml.externalLink+xml"/>
  <Override PartName="/xl/externalLinks/externalLink389.xml" ContentType="application/vnd.openxmlformats-officedocument.spreadsheetml.externalLink+xml"/>
  <Override PartName="/xl/externalLinks/externalLink390.xml" ContentType="application/vnd.openxmlformats-officedocument.spreadsheetml.externalLink+xml"/>
  <Override PartName="/xl/externalLinks/externalLink391.xml" ContentType="application/vnd.openxmlformats-officedocument.spreadsheetml.externalLink+xml"/>
  <Override PartName="/xl/externalLinks/externalLink392.xml" ContentType="application/vnd.openxmlformats-officedocument.spreadsheetml.externalLink+xml"/>
  <Override PartName="/xl/externalLinks/externalLink393.xml" ContentType="application/vnd.openxmlformats-officedocument.spreadsheetml.externalLink+xml"/>
  <Override PartName="/xl/externalLinks/externalLink394.xml" ContentType="application/vnd.openxmlformats-officedocument.spreadsheetml.externalLink+xml"/>
  <Override PartName="/xl/externalLinks/externalLink395.xml" ContentType="application/vnd.openxmlformats-officedocument.spreadsheetml.externalLink+xml"/>
  <Override PartName="/xl/externalLinks/externalLink396.xml" ContentType="application/vnd.openxmlformats-officedocument.spreadsheetml.externalLink+xml"/>
  <Override PartName="/xl/externalLinks/externalLink397.xml" ContentType="application/vnd.openxmlformats-officedocument.spreadsheetml.externalLink+xml"/>
  <Override PartName="/xl/externalLinks/externalLink398.xml" ContentType="application/vnd.openxmlformats-officedocument.spreadsheetml.externalLink+xml"/>
  <Override PartName="/xl/externalLinks/externalLink399.xml" ContentType="application/vnd.openxmlformats-officedocument.spreadsheetml.externalLink+xml"/>
  <Override PartName="/xl/externalLinks/externalLink400.xml" ContentType="application/vnd.openxmlformats-officedocument.spreadsheetml.externalLink+xml"/>
  <Override PartName="/xl/externalLinks/externalLink401.xml" ContentType="application/vnd.openxmlformats-officedocument.spreadsheetml.externalLink+xml"/>
  <Override PartName="/xl/externalLinks/externalLink402.xml" ContentType="application/vnd.openxmlformats-officedocument.spreadsheetml.externalLink+xml"/>
  <Override PartName="/xl/externalLinks/externalLink403.xml" ContentType="application/vnd.openxmlformats-officedocument.spreadsheetml.externalLink+xml"/>
  <Override PartName="/xl/externalLinks/externalLink404.xml" ContentType="application/vnd.openxmlformats-officedocument.spreadsheetml.externalLink+xml"/>
  <Override PartName="/xl/externalLinks/externalLink405.xml" ContentType="application/vnd.openxmlformats-officedocument.spreadsheetml.externalLink+xml"/>
  <Override PartName="/xl/externalLinks/externalLink406.xml" ContentType="application/vnd.openxmlformats-officedocument.spreadsheetml.externalLink+xml"/>
  <Override PartName="/xl/externalLinks/externalLink407.xml" ContentType="application/vnd.openxmlformats-officedocument.spreadsheetml.externalLink+xml"/>
  <Override PartName="/xl/externalLinks/externalLink408.xml" ContentType="application/vnd.openxmlformats-officedocument.spreadsheetml.externalLink+xml"/>
  <Override PartName="/xl/externalLinks/externalLink409.xml" ContentType="application/vnd.openxmlformats-officedocument.spreadsheetml.externalLink+xml"/>
  <Override PartName="/xl/externalLinks/externalLink410.xml" ContentType="application/vnd.openxmlformats-officedocument.spreadsheetml.externalLink+xml"/>
  <Override PartName="/xl/externalLinks/externalLink411.xml" ContentType="application/vnd.openxmlformats-officedocument.spreadsheetml.externalLink+xml"/>
  <Override PartName="/xl/externalLinks/externalLink412.xml" ContentType="application/vnd.openxmlformats-officedocument.spreadsheetml.externalLink+xml"/>
  <Override PartName="/xl/externalLinks/externalLink413.xml" ContentType="application/vnd.openxmlformats-officedocument.spreadsheetml.externalLink+xml"/>
  <Override PartName="/xl/externalLinks/externalLink414.xml" ContentType="application/vnd.openxmlformats-officedocument.spreadsheetml.externalLink+xml"/>
  <Override PartName="/xl/externalLinks/externalLink415.xml" ContentType="application/vnd.openxmlformats-officedocument.spreadsheetml.externalLink+xml"/>
  <Override PartName="/xl/externalLinks/externalLink416.xml" ContentType="application/vnd.openxmlformats-officedocument.spreadsheetml.externalLink+xml"/>
  <Override PartName="/xl/externalLinks/externalLink417.xml" ContentType="application/vnd.openxmlformats-officedocument.spreadsheetml.externalLink+xml"/>
  <Override PartName="/xl/externalLinks/externalLink418.xml" ContentType="application/vnd.openxmlformats-officedocument.spreadsheetml.externalLink+xml"/>
  <Override PartName="/xl/externalLinks/externalLink419.xml" ContentType="application/vnd.openxmlformats-officedocument.spreadsheetml.externalLink+xml"/>
  <Override PartName="/xl/externalLinks/externalLink420.xml" ContentType="application/vnd.openxmlformats-officedocument.spreadsheetml.externalLink+xml"/>
  <Override PartName="/xl/externalLinks/externalLink421.xml" ContentType="application/vnd.openxmlformats-officedocument.spreadsheetml.externalLink+xml"/>
  <Override PartName="/xl/externalLinks/externalLink422.xml" ContentType="application/vnd.openxmlformats-officedocument.spreadsheetml.externalLink+xml"/>
  <Override PartName="/xl/externalLinks/externalLink423.xml" ContentType="application/vnd.openxmlformats-officedocument.spreadsheetml.externalLink+xml"/>
  <Override PartName="/xl/externalLinks/externalLink424.xml" ContentType="application/vnd.openxmlformats-officedocument.spreadsheetml.externalLink+xml"/>
  <Override PartName="/xl/externalLinks/externalLink425.xml" ContentType="application/vnd.openxmlformats-officedocument.spreadsheetml.externalLink+xml"/>
  <Override PartName="/xl/externalLinks/externalLink426.xml" ContentType="application/vnd.openxmlformats-officedocument.spreadsheetml.externalLink+xml"/>
  <Override PartName="/xl/externalLinks/externalLink427.xml" ContentType="application/vnd.openxmlformats-officedocument.spreadsheetml.externalLink+xml"/>
  <Override PartName="/xl/externalLinks/externalLink428.xml" ContentType="application/vnd.openxmlformats-officedocument.spreadsheetml.externalLink+xml"/>
  <Override PartName="/xl/externalLinks/externalLink429.xml" ContentType="application/vnd.openxmlformats-officedocument.spreadsheetml.externalLink+xml"/>
  <Override PartName="/xl/externalLinks/externalLink430.xml" ContentType="application/vnd.openxmlformats-officedocument.spreadsheetml.externalLink+xml"/>
  <Override PartName="/xl/externalLinks/externalLink431.xml" ContentType="application/vnd.openxmlformats-officedocument.spreadsheetml.externalLink+xml"/>
  <Override PartName="/xl/externalLinks/externalLink432.xml" ContentType="application/vnd.openxmlformats-officedocument.spreadsheetml.externalLink+xml"/>
  <Override PartName="/xl/externalLinks/externalLink433.xml" ContentType="application/vnd.openxmlformats-officedocument.spreadsheetml.externalLink+xml"/>
  <Override PartName="/xl/externalLinks/externalLink434.xml" ContentType="application/vnd.openxmlformats-officedocument.spreadsheetml.externalLink+xml"/>
  <Override PartName="/xl/externalLinks/externalLink435.xml" ContentType="application/vnd.openxmlformats-officedocument.spreadsheetml.externalLink+xml"/>
  <Override PartName="/xl/externalLinks/externalLink436.xml" ContentType="application/vnd.openxmlformats-officedocument.spreadsheetml.externalLink+xml"/>
  <Override PartName="/xl/externalLinks/externalLink437.xml" ContentType="application/vnd.openxmlformats-officedocument.spreadsheetml.externalLink+xml"/>
  <Override PartName="/xl/externalLinks/externalLink438.xml" ContentType="application/vnd.openxmlformats-officedocument.spreadsheetml.externalLink+xml"/>
  <Override PartName="/xl/externalLinks/externalLink439.xml" ContentType="application/vnd.openxmlformats-officedocument.spreadsheetml.externalLink+xml"/>
  <Override PartName="/xl/externalLinks/externalLink440.xml" ContentType="application/vnd.openxmlformats-officedocument.spreadsheetml.externalLink+xml"/>
  <Override PartName="/xl/externalLinks/externalLink441.xml" ContentType="application/vnd.openxmlformats-officedocument.spreadsheetml.externalLink+xml"/>
  <Override PartName="/xl/externalLinks/externalLink442.xml" ContentType="application/vnd.openxmlformats-officedocument.spreadsheetml.externalLink+xml"/>
  <Override PartName="/xl/externalLinks/externalLink443.xml" ContentType="application/vnd.openxmlformats-officedocument.spreadsheetml.externalLink+xml"/>
  <Override PartName="/xl/externalLinks/externalLink444.xml" ContentType="application/vnd.openxmlformats-officedocument.spreadsheetml.externalLink+xml"/>
  <Override PartName="/xl/externalLinks/externalLink445.xml" ContentType="application/vnd.openxmlformats-officedocument.spreadsheetml.externalLink+xml"/>
  <Override PartName="/xl/externalLinks/externalLink446.xml" ContentType="application/vnd.openxmlformats-officedocument.spreadsheetml.externalLink+xml"/>
  <Override PartName="/xl/externalLinks/externalLink447.xml" ContentType="application/vnd.openxmlformats-officedocument.spreadsheetml.externalLink+xml"/>
  <Override PartName="/xl/externalLinks/externalLink448.xml" ContentType="application/vnd.openxmlformats-officedocument.spreadsheetml.externalLink+xml"/>
  <Override PartName="/xl/externalLinks/externalLink449.xml" ContentType="application/vnd.openxmlformats-officedocument.spreadsheetml.externalLink+xml"/>
  <Override PartName="/xl/externalLinks/externalLink450.xml" ContentType="application/vnd.openxmlformats-officedocument.spreadsheetml.externalLink+xml"/>
  <Override PartName="/xl/externalLinks/externalLink45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FINANZAS\Fideicomisos\0_Consolidated Monthly Tracking Files\2026\"/>
    </mc:Choice>
  </mc:AlternateContent>
  <xr:revisionPtr revIDLastSave="0" documentId="13_ncr:1_{E4ED03A3-784A-438A-B2CB-B85D6BA945FB}" xr6:coauthVersionLast="47" xr6:coauthVersionMax="47" xr10:uidLastSave="{00000000-0000-0000-0000-000000000000}"/>
  <bookViews>
    <workbookView xWindow="20370" yWindow="-120" windowWidth="21840" windowHeight="13020" tabRatio="859" firstSheet="1" activeTab="2" xr2:uid="{00000000-000D-0000-FFFF-FFFF00000000}"/>
  </bookViews>
  <sheets>
    <sheet name="8th Trust (2007-1)" sheetId="1" state="hidden" r:id="rId1"/>
    <sheet name="10th Trust (2010-1)" sheetId="2" r:id="rId2"/>
    <sheet name="12th Trust (2014-1)" sheetId="7" r:id="rId3"/>
    <sheet name="13th Trust (2016-1)" sheetId="9" r:id="rId4"/>
    <sheet name="14th Trust (2019-1 &amp; 2019-2)" sheetId="11" r:id="rId5"/>
    <sheet name="15th Trust (2019-1 El Salvador)" sheetId="13" r:id="rId6"/>
    <sheet name="16th Trust (2021-1)" sheetId="14" r:id="rId7"/>
    <sheet name="Hoja1" sheetId="15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  <externalReference r:id="rId197"/>
    <externalReference r:id="rId198"/>
    <externalReference r:id="rId199"/>
    <externalReference r:id="rId200"/>
    <externalReference r:id="rId201"/>
    <externalReference r:id="rId202"/>
    <externalReference r:id="rId203"/>
    <externalReference r:id="rId204"/>
    <externalReference r:id="rId205"/>
    <externalReference r:id="rId206"/>
    <externalReference r:id="rId207"/>
    <externalReference r:id="rId208"/>
    <externalReference r:id="rId209"/>
    <externalReference r:id="rId210"/>
    <externalReference r:id="rId211"/>
    <externalReference r:id="rId212"/>
    <externalReference r:id="rId213"/>
    <externalReference r:id="rId214"/>
    <externalReference r:id="rId215"/>
    <externalReference r:id="rId216"/>
    <externalReference r:id="rId217"/>
    <externalReference r:id="rId218"/>
    <externalReference r:id="rId219"/>
    <externalReference r:id="rId220"/>
    <externalReference r:id="rId221"/>
    <externalReference r:id="rId222"/>
    <externalReference r:id="rId223"/>
    <externalReference r:id="rId224"/>
    <externalReference r:id="rId225"/>
    <externalReference r:id="rId226"/>
    <externalReference r:id="rId227"/>
    <externalReference r:id="rId228"/>
    <externalReference r:id="rId229"/>
    <externalReference r:id="rId230"/>
    <externalReference r:id="rId231"/>
    <externalReference r:id="rId232"/>
    <externalReference r:id="rId233"/>
    <externalReference r:id="rId234"/>
    <externalReference r:id="rId235"/>
    <externalReference r:id="rId236"/>
    <externalReference r:id="rId237"/>
    <externalReference r:id="rId238"/>
    <externalReference r:id="rId239"/>
    <externalReference r:id="rId240"/>
    <externalReference r:id="rId241"/>
    <externalReference r:id="rId242"/>
    <externalReference r:id="rId243"/>
    <externalReference r:id="rId244"/>
    <externalReference r:id="rId245"/>
    <externalReference r:id="rId246"/>
    <externalReference r:id="rId247"/>
    <externalReference r:id="rId248"/>
    <externalReference r:id="rId249"/>
    <externalReference r:id="rId250"/>
    <externalReference r:id="rId251"/>
    <externalReference r:id="rId252"/>
    <externalReference r:id="rId253"/>
    <externalReference r:id="rId254"/>
    <externalReference r:id="rId255"/>
    <externalReference r:id="rId256"/>
    <externalReference r:id="rId257"/>
    <externalReference r:id="rId258"/>
    <externalReference r:id="rId259"/>
    <externalReference r:id="rId260"/>
    <externalReference r:id="rId261"/>
    <externalReference r:id="rId262"/>
    <externalReference r:id="rId263"/>
    <externalReference r:id="rId264"/>
    <externalReference r:id="rId265"/>
    <externalReference r:id="rId266"/>
    <externalReference r:id="rId267"/>
    <externalReference r:id="rId268"/>
    <externalReference r:id="rId269"/>
    <externalReference r:id="rId270"/>
    <externalReference r:id="rId271"/>
    <externalReference r:id="rId272"/>
    <externalReference r:id="rId273"/>
    <externalReference r:id="rId274"/>
    <externalReference r:id="rId275"/>
    <externalReference r:id="rId276"/>
    <externalReference r:id="rId277"/>
    <externalReference r:id="rId278"/>
    <externalReference r:id="rId279"/>
    <externalReference r:id="rId280"/>
    <externalReference r:id="rId281"/>
    <externalReference r:id="rId282"/>
    <externalReference r:id="rId283"/>
    <externalReference r:id="rId284"/>
    <externalReference r:id="rId285"/>
    <externalReference r:id="rId286"/>
    <externalReference r:id="rId287"/>
    <externalReference r:id="rId288"/>
    <externalReference r:id="rId289"/>
    <externalReference r:id="rId290"/>
    <externalReference r:id="rId291"/>
    <externalReference r:id="rId292"/>
    <externalReference r:id="rId293"/>
    <externalReference r:id="rId294"/>
    <externalReference r:id="rId295"/>
    <externalReference r:id="rId296"/>
    <externalReference r:id="rId297"/>
    <externalReference r:id="rId298"/>
    <externalReference r:id="rId299"/>
    <externalReference r:id="rId300"/>
    <externalReference r:id="rId301"/>
    <externalReference r:id="rId302"/>
    <externalReference r:id="rId303"/>
    <externalReference r:id="rId304"/>
    <externalReference r:id="rId305"/>
    <externalReference r:id="rId306"/>
    <externalReference r:id="rId307"/>
    <externalReference r:id="rId308"/>
    <externalReference r:id="rId309"/>
    <externalReference r:id="rId310"/>
    <externalReference r:id="rId311"/>
    <externalReference r:id="rId312"/>
    <externalReference r:id="rId313"/>
    <externalReference r:id="rId314"/>
    <externalReference r:id="rId315"/>
    <externalReference r:id="rId316"/>
    <externalReference r:id="rId317"/>
    <externalReference r:id="rId318"/>
    <externalReference r:id="rId319"/>
    <externalReference r:id="rId320"/>
    <externalReference r:id="rId321"/>
    <externalReference r:id="rId322"/>
    <externalReference r:id="rId323"/>
    <externalReference r:id="rId324"/>
    <externalReference r:id="rId325"/>
    <externalReference r:id="rId326"/>
    <externalReference r:id="rId327"/>
    <externalReference r:id="rId328"/>
    <externalReference r:id="rId329"/>
    <externalReference r:id="rId330"/>
    <externalReference r:id="rId331"/>
    <externalReference r:id="rId332"/>
    <externalReference r:id="rId333"/>
    <externalReference r:id="rId334"/>
    <externalReference r:id="rId335"/>
    <externalReference r:id="rId336"/>
    <externalReference r:id="rId337"/>
    <externalReference r:id="rId338"/>
    <externalReference r:id="rId339"/>
    <externalReference r:id="rId340"/>
    <externalReference r:id="rId341"/>
    <externalReference r:id="rId342"/>
    <externalReference r:id="rId343"/>
    <externalReference r:id="rId344"/>
    <externalReference r:id="rId345"/>
    <externalReference r:id="rId346"/>
    <externalReference r:id="rId347"/>
    <externalReference r:id="rId348"/>
    <externalReference r:id="rId349"/>
    <externalReference r:id="rId350"/>
    <externalReference r:id="rId351"/>
    <externalReference r:id="rId352"/>
    <externalReference r:id="rId353"/>
    <externalReference r:id="rId354"/>
    <externalReference r:id="rId355"/>
    <externalReference r:id="rId356"/>
    <externalReference r:id="rId357"/>
    <externalReference r:id="rId358"/>
    <externalReference r:id="rId359"/>
    <externalReference r:id="rId360"/>
    <externalReference r:id="rId361"/>
    <externalReference r:id="rId362"/>
    <externalReference r:id="rId363"/>
    <externalReference r:id="rId364"/>
    <externalReference r:id="rId365"/>
    <externalReference r:id="rId366"/>
    <externalReference r:id="rId367"/>
    <externalReference r:id="rId368"/>
    <externalReference r:id="rId369"/>
    <externalReference r:id="rId370"/>
    <externalReference r:id="rId371"/>
    <externalReference r:id="rId372"/>
    <externalReference r:id="rId373"/>
    <externalReference r:id="rId374"/>
    <externalReference r:id="rId375"/>
    <externalReference r:id="rId376"/>
    <externalReference r:id="rId377"/>
    <externalReference r:id="rId378"/>
    <externalReference r:id="rId379"/>
    <externalReference r:id="rId380"/>
    <externalReference r:id="rId381"/>
    <externalReference r:id="rId382"/>
    <externalReference r:id="rId383"/>
    <externalReference r:id="rId384"/>
    <externalReference r:id="rId385"/>
    <externalReference r:id="rId386"/>
    <externalReference r:id="rId387"/>
    <externalReference r:id="rId388"/>
    <externalReference r:id="rId389"/>
    <externalReference r:id="rId390"/>
    <externalReference r:id="rId391"/>
    <externalReference r:id="rId392"/>
    <externalReference r:id="rId393"/>
    <externalReference r:id="rId394"/>
    <externalReference r:id="rId395"/>
    <externalReference r:id="rId396"/>
    <externalReference r:id="rId397"/>
    <externalReference r:id="rId398"/>
    <externalReference r:id="rId399"/>
    <externalReference r:id="rId400"/>
    <externalReference r:id="rId401"/>
    <externalReference r:id="rId402"/>
    <externalReference r:id="rId403"/>
    <externalReference r:id="rId404"/>
    <externalReference r:id="rId405"/>
    <externalReference r:id="rId406"/>
    <externalReference r:id="rId407"/>
    <externalReference r:id="rId408"/>
    <externalReference r:id="rId409"/>
    <externalReference r:id="rId410"/>
    <externalReference r:id="rId411"/>
    <externalReference r:id="rId412"/>
    <externalReference r:id="rId413"/>
    <externalReference r:id="rId414"/>
    <externalReference r:id="rId415"/>
    <externalReference r:id="rId416"/>
    <externalReference r:id="rId417"/>
    <externalReference r:id="rId418"/>
    <externalReference r:id="rId419"/>
    <externalReference r:id="rId420"/>
    <externalReference r:id="rId421"/>
    <externalReference r:id="rId422"/>
    <externalReference r:id="rId423"/>
    <externalReference r:id="rId424"/>
    <externalReference r:id="rId425"/>
    <externalReference r:id="rId426"/>
    <externalReference r:id="rId427"/>
    <externalReference r:id="rId428"/>
    <externalReference r:id="rId429"/>
    <externalReference r:id="rId430"/>
    <externalReference r:id="rId431"/>
    <externalReference r:id="rId432"/>
    <externalReference r:id="rId433"/>
    <externalReference r:id="rId434"/>
    <externalReference r:id="rId435"/>
    <externalReference r:id="rId436"/>
    <externalReference r:id="rId437"/>
    <externalReference r:id="rId438"/>
    <externalReference r:id="rId439"/>
    <externalReference r:id="rId440"/>
    <externalReference r:id="rId441"/>
    <externalReference r:id="rId442"/>
    <externalReference r:id="rId443"/>
    <externalReference r:id="rId444"/>
    <externalReference r:id="rId445"/>
    <externalReference r:id="rId446"/>
    <externalReference r:id="rId447"/>
    <externalReference r:id="rId448"/>
    <externalReference r:id="rId449"/>
    <externalReference r:id="rId450"/>
    <externalReference r:id="rId451"/>
    <externalReference r:id="rId452"/>
    <externalReference r:id="rId453"/>
    <externalReference r:id="rId454"/>
    <externalReference r:id="rId455"/>
    <externalReference r:id="rId456"/>
    <externalReference r:id="rId457"/>
    <externalReference r:id="rId458"/>
    <externalReference r:id="rId45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K58" i="14" l="1"/>
  <c r="AS58" i="14"/>
  <c r="AR58" i="14"/>
  <c r="AQ58" i="14"/>
  <c r="AP58" i="14"/>
  <c r="AO58" i="14"/>
  <c r="AN58" i="14"/>
  <c r="AM58" i="14"/>
  <c r="AL58" i="14"/>
  <c r="AJ58" i="14"/>
  <c r="AI58" i="14"/>
  <c r="AG58" i="14"/>
  <c r="AE58" i="14"/>
  <c r="AD58" i="14"/>
  <c r="AA58" i="14"/>
  <c r="AB58" i="14" s="1"/>
  <c r="N58" i="14"/>
  <c r="O58" i="14" s="1"/>
  <c r="F58" i="14"/>
  <c r="B58" i="14"/>
  <c r="A58" i="14"/>
  <c r="AJ91" i="13"/>
  <c r="AK91" i="13" s="1"/>
  <c r="AR91" i="13"/>
  <c r="AQ91" i="13"/>
  <c r="AP91" i="13"/>
  <c r="AO91" i="13"/>
  <c r="AN91" i="13"/>
  <c r="AM91" i="13"/>
  <c r="AL91" i="13"/>
  <c r="AI91" i="13"/>
  <c r="AH91" i="13"/>
  <c r="AF91" i="13"/>
  <c r="AD91" i="13"/>
  <c r="AC91" i="13"/>
  <c r="Z91" i="13"/>
  <c r="AA91" i="13" s="1"/>
  <c r="N91" i="13"/>
  <c r="O91" i="13" s="1"/>
  <c r="F91" i="13"/>
  <c r="B91" i="13"/>
  <c r="A91" i="13"/>
  <c r="AR91" i="11"/>
  <c r="AQ91" i="11"/>
  <c r="AP91" i="11"/>
  <c r="AO91" i="11"/>
  <c r="AN91" i="11"/>
  <c r="AM91" i="11"/>
  <c r="AL91" i="11"/>
  <c r="AJ91" i="11"/>
  <c r="AK91" i="11" s="1"/>
  <c r="AI91" i="11"/>
  <c r="AH91" i="11"/>
  <c r="AF91" i="11"/>
  <c r="AD91" i="11"/>
  <c r="AC91" i="11"/>
  <c r="Z91" i="11"/>
  <c r="AA91" i="11" s="1"/>
  <c r="N91" i="11"/>
  <c r="O91" i="11" s="1"/>
  <c r="R91" i="11" s="1"/>
  <c r="F91" i="11"/>
  <c r="B91" i="11"/>
  <c r="A91" i="11"/>
  <c r="AR118" i="9"/>
  <c r="AQ118" i="9"/>
  <c r="AP118" i="9"/>
  <c r="AO118" i="9"/>
  <c r="AN118" i="9"/>
  <c r="AM118" i="9"/>
  <c r="AL118" i="9"/>
  <c r="AJ118" i="9"/>
  <c r="AK118" i="9" s="1"/>
  <c r="AI118" i="9"/>
  <c r="AH118" i="9"/>
  <c r="AF118" i="9"/>
  <c r="AD118" i="9"/>
  <c r="AC118" i="9"/>
  <c r="Z118" i="9"/>
  <c r="AA118" i="9" s="1"/>
  <c r="N118" i="9"/>
  <c r="O118" i="9" s="1"/>
  <c r="F118" i="9"/>
  <c r="B118" i="9"/>
  <c r="A118" i="9"/>
  <c r="AD145" i="7"/>
  <c r="AR145" i="7"/>
  <c r="AQ145" i="7"/>
  <c r="AP145" i="7"/>
  <c r="AO145" i="7"/>
  <c r="AN145" i="7"/>
  <c r="AM145" i="7"/>
  <c r="AL145" i="7"/>
  <c r="AK145" i="7"/>
  <c r="AI145" i="7"/>
  <c r="AH145" i="7"/>
  <c r="AF145" i="7"/>
  <c r="AC145" i="7"/>
  <c r="Z145" i="7"/>
  <c r="AA145" i="7" s="1"/>
  <c r="M145" i="7"/>
  <c r="N145" i="7" s="1"/>
  <c r="E145" i="7"/>
  <c r="B145" i="7"/>
  <c r="A145" i="7"/>
  <c r="AK57" i="14"/>
  <c r="AL57" i="14" s="1"/>
  <c r="B57" i="14"/>
  <c r="AS57" i="14"/>
  <c r="AR57" i="14"/>
  <c r="AQ57" i="14"/>
  <c r="AP57" i="14"/>
  <c r="AO57" i="14"/>
  <c r="AN57" i="14"/>
  <c r="AM57" i="14"/>
  <c r="AJ57" i="14"/>
  <c r="AI57" i="14"/>
  <c r="AG57" i="14"/>
  <c r="AE57" i="14"/>
  <c r="AD57" i="14"/>
  <c r="AA57" i="14"/>
  <c r="AB57" i="14" s="1"/>
  <c r="N57" i="14"/>
  <c r="O57" i="14" s="1"/>
  <c r="F57" i="14"/>
  <c r="A57" i="14"/>
  <c r="AJ90" i="13"/>
  <c r="AK90" i="13" s="1"/>
  <c r="B117" i="9"/>
  <c r="AR90" i="13"/>
  <c r="AQ90" i="13"/>
  <c r="AP90" i="13"/>
  <c r="AO90" i="13"/>
  <c r="AN90" i="13"/>
  <c r="AM90" i="13"/>
  <c r="AL90" i="13"/>
  <c r="AI90" i="13"/>
  <c r="AH90" i="13"/>
  <c r="AF90" i="13"/>
  <c r="AD90" i="13"/>
  <c r="AC90" i="13"/>
  <c r="Z90" i="13"/>
  <c r="AA90" i="13" s="1"/>
  <c r="N90" i="13"/>
  <c r="O90" i="13" s="1"/>
  <c r="R90" i="13" s="1"/>
  <c r="F90" i="13"/>
  <c r="B90" i="13"/>
  <c r="A90" i="13"/>
  <c r="AR90" i="11"/>
  <c r="AQ90" i="11"/>
  <c r="AP90" i="11"/>
  <c r="AO90" i="11"/>
  <c r="AN90" i="11"/>
  <c r="AM90" i="11"/>
  <c r="AL90" i="11"/>
  <c r="AK90" i="11"/>
  <c r="AJ90" i="11"/>
  <c r="AI90" i="11"/>
  <c r="AH90" i="11"/>
  <c r="AF90" i="11"/>
  <c r="AD90" i="11"/>
  <c r="AC90" i="11"/>
  <c r="Z90" i="11"/>
  <c r="AA90" i="11" s="1"/>
  <c r="N90" i="11"/>
  <c r="O90" i="11" s="1"/>
  <c r="F90" i="11"/>
  <c r="B90" i="11"/>
  <c r="A90" i="11"/>
  <c r="AR117" i="9"/>
  <c r="AQ117" i="9"/>
  <c r="AP117" i="9"/>
  <c r="AO117" i="9"/>
  <c r="AN117" i="9"/>
  <c r="AM117" i="9"/>
  <c r="AL117" i="9"/>
  <c r="AK117" i="9"/>
  <c r="AJ117" i="9"/>
  <c r="AI117" i="9"/>
  <c r="AH117" i="9"/>
  <c r="AF117" i="9"/>
  <c r="AD117" i="9"/>
  <c r="AC117" i="9"/>
  <c r="Z117" i="9"/>
  <c r="AA117" i="9" s="1"/>
  <c r="N117" i="9"/>
  <c r="O117" i="9" s="1"/>
  <c r="F117" i="9"/>
  <c r="A117" i="9"/>
  <c r="AR144" i="7"/>
  <c r="AQ144" i="7"/>
  <c r="AP144" i="7"/>
  <c r="AO144" i="7"/>
  <c r="AN144" i="7"/>
  <c r="AM144" i="7"/>
  <c r="AL144" i="7"/>
  <c r="AK144" i="7"/>
  <c r="AI144" i="7"/>
  <c r="AH144" i="7"/>
  <c r="AF144" i="7"/>
  <c r="AD144" i="7"/>
  <c r="AC144" i="7"/>
  <c r="Z144" i="7"/>
  <c r="AA144" i="7" s="1"/>
  <c r="M144" i="7"/>
  <c r="N144" i="7" s="1"/>
  <c r="E144" i="7"/>
  <c r="B144" i="7"/>
  <c r="A144" i="7"/>
  <c r="AK56" i="14"/>
  <c r="AS56" i="14"/>
  <c r="AR56" i="14"/>
  <c r="AQ56" i="14"/>
  <c r="AP56" i="14"/>
  <c r="AO56" i="14"/>
  <c r="AN56" i="14"/>
  <c r="AM56" i="14"/>
  <c r="AL56" i="14"/>
  <c r="AJ56" i="14"/>
  <c r="AI56" i="14"/>
  <c r="AG56" i="14"/>
  <c r="AE56" i="14"/>
  <c r="AD56" i="14"/>
  <c r="AA56" i="14"/>
  <c r="AB56" i="14" s="1"/>
  <c r="N56" i="14"/>
  <c r="O56" i="14" s="1"/>
  <c r="F56" i="14"/>
  <c r="B56" i="14"/>
  <c r="A56" i="14"/>
  <c r="AJ89" i="13"/>
  <c r="AK89" i="13" s="1"/>
  <c r="AR89" i="13"/>
  <c r="AQ89" i="13"/>
  <c r="AP89" i="13"/>
  <c r="AO89" i="13"/>
  <c r="AN89" i="13"/>
  <c r="AM89" i="13"/>
  <c r="AL89" i="13"/>
  <c r="AI89" i="13"/>
  <c r="AH89" i="13"/>
  <c r="AF89" i="13"/>
  <c r="AD89" i="13"/>
  <c r="AC89" i="13"/>
  <c r="Z89" i="13"/>
  <c r="AA89" i="13" s="1"/>
  <c r="N89" i="13"/>
  <c r="O89" i="13" s="1"/>
  <c r="F89" i="13"/>
  <c r="B89" i="13"/>
  <c r="A89" i="13"/>
  <c r="F8" i="11"/>
  <c r="AR89" i="11"/>
  <c r="AQ89" i="11"/>
  <c r="AP89" i="11"/>
  <c r="AO89" i="11"/>
  <c r="AN89" i="11"/>
  <c r="AM89" i="11"/>
  <c r="AL89" i="11"/>
  <c r="AK89" i="11"/>
  <c r="AJ89" i="11"/>
  <c r="AI89" i="11"/>
  <c r="AH89" i="11"/>
  <c r="AF89" i="11"/>
  <c r="AD89" i="11"/>
  <c r="AC89" i="11"/>
  <c r="Z89" i="11"/>
  <c r="AA89" i="11" s="1"/>
  <c r="O89" i="11"/>
  <c r="Q89" i="11" s="1"/>
  <c r="N89" i="11"/>
  <c r="F89" i="11"/>
  <c r="B89" i="11"/>
  <c r="A89" i="11"/>
  <c r="F115" i="9"/>
  <c r="F116" i="9"/>
  <c r="AR116" i="9"/>
  <c r="AQ116" i="9"/>
  <c r="AP116" i="9"/>
  <c r="AO116" i="9"/>
  <c r="AN116" i="9"/>
  <c r="AM116" i="9"/>
  <c r="AL116" i="9"/>
  <c r="AJ116" i="9"/>
  <c r="AK116" i="9" s="1"/>
  <c r="AI116" i="9"/>
  <c r="AH116" i="9"/>
  <c r="AF116" i="9"/>
  <c r="AD116" i="9"/>
  <c r="AC116" i="9"/>
  <c r="Z116" i="9"/>
  <c r="AA116" i="9" s="1"/>
  <c r="N116" i="9"/>
  <c r="O116" i="9" s="1"/>
  <c r="B116" i="9"/>
  <c r="A116" i="9"/>
  <c r="AR143" i="7"/>
  <c r="AQ143" i="7"/>
  <c r="AP143" i="7"/>
  <c r="AO143" i="7"/>
  <c r="AN143" i="7"/>
  <c r="AM143" i="7"/>
  <c r="AL143" i="7"/>
  <c r="AK143" i="7"/>
  <c r="AI143" i="7"/>
  <c r="AH143" i="7"/>
  <c r="AF143" i="7"/>
  <c r="AD143" i="7"/>
  <c r="AC143" i="7"/>
  <c r="AA143" i="7"/>
  <c r="Z143" i="7"/>
  <c r="M143" i="7"/>
  <c r="N143" i="7" s="1"/>
  <c r="E143" i="7"/>
  <c r="B143" i="7"/>
  <c r="A143" i="7"/>
  <c r="AK55" i="14"/>
  <c r="AL55" i="14" s="1"/>
  <c r="AJ88" i="13"/>
  <c r="AR88" i="13"/>
  <c r="AQ88" i="13"/>
  <c r="AP88" i="13"/>
  <c r="AO88" i="13"/>
  <c r="AN88" i="13"/>
  <c r="AM88" i="13"/>
  <c r="AL88" i="13"/>
  <c r="AK88" i="13"/>
  <c r="AI88" i="13"/>
  <c r="AH88" i="13"/>
  <c r="AF88" i="13"/>
  <c r="AD88" i="13"/>
  <c r="AC88" i="13"/>
  <c r="N88" i="13"/>
  <c r="O88" i="13" s="1"/>
  <c r="F88" i="13"/>
  <c r="B88" i="13"/>
  <c r="A88" i="13"/>
  <c r="AR88" i="11"/>
  <c r="AQ88" i="11"/>
  <c r="AP88" i="11"/>
  <c r="AO88" i="11"/>
  <c r="AN88" i="11"/>
  <c r="AM88" i="11"/>
  <c r="AL88" i="11"/>
  <c r="AK88" i="11"/>
  <c r="AJ88" i="11"/>
  <c r="AI88" i="11"/>
  <c r="AH88" i="11"/>
  <c r="AF88" i="11"/>
  <c r="AD88" i="11"/>
  <c r="AC88" i="11"/>
  <c r="N88" i="11"/>
  <c r="O88" i="11" s="1"/>
  <c r="F88" i="11"/>
  <c r="B88" i="11"/>
  <c r="A88" i="11"/>
  <c r="AR115" i="9"/>
  <c r="AQ115" i="9"/>
  <c r="AP115" i="9"/>
  <c r="AO115" i="9"/>
  <c r="AN115" i="9"/>
  <c r="AM115" i="9"/>
  <c r="AL115" i="9"/>
  <c r="AJ115" i="9"/>
  <c r="AK115" i="9" s="1"/>
  <c r="AI115" i="9"/>
  <c r="AH115" i="9"/>
  <c r="AF115" i="9"/>
  <c r="AD115" i="9"/>
  <c r="AC115" i="9"/>
  <c r="N115" i="9"/>
  <c r="O115" i="9" s="1"/>
  <c r="B115" i="9"/>
  <c r="A115" i="9"/>
  <c r="AR142" i="7"/>
  <c r="AQ142" i="7"/>
  <c r="AP142" i="7"/>
  <c r="AO142" i="7"/>
  <c r="AN142" i="7"/>
  <c r="AM142" i="7"/>
  <c r="AL142" i="7"/>
  <c r="AK142" i="7"/>
  <c r="AI142" i="7"/>
  <c r="AH142" i="7"/>
  <c r="AF142" i="7"/>
  <c r="AD142" i="7"/>
  <c r="AC142" i="7"/>
  <c r="M142" i="7"/>
  <c r="N142" i="7" s="1"/>
  <c r="E142" i="7"/>
  <c r="B142" i="7"/>
  <c r="A142" i="7"/>
  <c r="AS55" i="14"/>
  <c r="AR55" i="14"/>
  <c r="AQ55" i="14"/>
  <c r="AP55" i="14"/>
  <c r="AO55" i="14"/>
  <c r="AN55" i="14"/>
  <c r="AM55" i="14"/>
  <c r="AJ55" i="14"/>
  <c r="AI55" i="14"/>
  <c r="AG55" i="14"/>
  <c r="AE55" i="14"/>
  <c r="AD55" i="14"/>
  <c r="N55" i="14"/>
  <c r="O55" i="14" s="1"/>
  <c r="F55" i="14"/>
  <c r="B55" i="14"/>
  <c r="A55" i="14"/>
  <c r="AK54" i="14"/>
  <c r="AS54" i="14"/>
  <c r="AR54" i="14"/>
  <c r="AQ54" i="14"/>
  <c r="AP54" i="14"/>
  <c r="AO54" i="14"/>
  <c r="AN54" i="14"/>
  <c r="AM54" i="14"/>
  <c r="AL54" i="14"/>
  <c r="AJ54" i="14"/>
  <c r="AI54" i="14"/>
  <c r="AG54" i="14"/>
  <c r="AE54" i="14"/>
  <c r="AD54" i="14"/>
  <c r="N54" i="14"/>
  <c r="O54" i="14" s="1"/>
  <c r="F54" i="14"/>
  <c r="B54" i="14"/>
  <c r="A54" i="14"/>
  <c r="AJ87" i="13"/>
  <c r="AK87" i="13" s="1"/>
  <c r="AR87" i="13"/>
  <c r="AQ87" i="13"/>
  <c r="AP87" i="13"/>
  <c r="AO87" i="13"/>
  <c r="AN87" i="13"/>
  <c r="AM87" i="13"/>
  <c r="AL87" i="13"/>
  <c r="AI87" i="13"/>
  <c r="AH87" i="13"/>
  <c r="AF87" i="13"/>
  <c r="AD87" i="13"/>
  <c r="AC87" i="13"/>
  <c r="O87" i="13"/>
  <c r="Q87" i="13" s="1"/>
  <c r="N87" i="13"/>
  <c r="F87" i="13"/>
  <c r="B87" i="13"/>
  <c r="A87" i="13"/>
  <c r="AR87" i="11"/>
  <c r="AQ87" i="11"/>
  <c r="AP87" i="11"/>
  <c r="AO87" i="11"/>
  <c r="AN87" i="11"/>
  <c r="AM87" i="11"/>
  <c r="AL87" i="11"/>
  <c r="AJ87" i="11"/>
  <c r="AK87" i="11" s="1"/>
  <c r="AI87" i="11"/>
  <c r="AH87" i="11"/>
  <c r="AF87" i="11"/>
  <c r="AD87" i="11"/>
  <c r="AC87" i="11"/>
  <c r="N87" i="11"/>
  <c r="O87" i="11" s="1"/>
  <c r="F87" i="11"/>
  <c r="B87" i="11"/>
  <c r="A87" i="11"/>
  <c r="AR114" i="9"/>
  <c r="AQ114" i="9"/>
  <c r="AP114" i="9"/>
  <c r="AO114" i="9"/>
  <c r="AN114" i="9"/>
  <c r="AM114" i="9"/>
  <c r="AL114" i="9"/>
  <c r="AJ114" i="9"/>
  <c r="AK114" i="9" s="1"/>
  <c r="AI114" i="9"/>
  <c r="AH114" i="9"/>
  <c r="AF114" i="9"/>
  <c r="AD114" i="9"/>
  <c r="AC114" i="9"/>
  <c r="N114" i="9"/>
  <c r="O114" i="9" s="1"/>
  <c r="F114" i="9"/>
  <c r="B114" i="9"/>
  <c r="A114" i="9"/>
  <c r="AR141" i="7"/>
  <c r="AQ141" i="7"/>
  <c r="AP141" i="7"/>
  <c r="AO141" i="7"/>
  <c r="AN141" i="7"/>
  <c r="AM141" i="7"/>
  <c r="AL141" i="7"/>
  <c r="AK141" i="7"/>
  <c r="AI141" i="7"/>
  <c r="AH141" i="7"/>
  <c r="AF141" i="7"/>
  <c r="AD141" i="7"/>
  <c r="AC141" i="7"/>
  <c r="M141" i="7"/>
  <c r="N141" i="7" s="1"/>
  <c r="E141" i="7"/>
  <c r="B141" i="7"/>
  <c r="A141" i="7"/>
  <c r="AK53" i="14"/>
  <c r="AS53" i="14"/>
  <c r="AR53" i="14"/>
  <c r="AQ53" i="14"/>
  <c r="AP53" i="14"/>
  <c r="AO53" i="14"/>
  <c r="AN53" i="14"/>
  <c r="AM53" i="14"/>
  <c r="AL53" i="14"/>
  <c r="AJ53" i="14"/>
  <c r="AI53" i="14"/>
  <c r="AG53" i="14"/>
  <c r="AE53" i="14"/>
  <c r="AD53" i="14"/>
  <c r="N53" i="14"/>
  <c r="O53" i="14" s="1"/>
  <c r="Q53" i="14" s="1"/>
  <c r="F53" i="14"/>
  <c r="B53" i="14"/>
  <c r="A53" i="14"/>
  <c r="AJ86" i="13"/>
  <c r="AR86" i="13"/>
  <c r="AQ86" i="13"/>
  <c r="AP86" i="13"/>
  <c r="AO86" i="13"/>
  <c r="AN86" i="13"/>
  <c r="AM86" i="13"/>
  <c r="AL86" i="13"/>
  <c r="AK86" i="13"/>
  <c r="AI86" i="13"/>
  <c r="AH86" i="13"/>
  <c r="AF86" i="13"/>
  <c r="AD86" i="13"/>
  <c r="AC86" i="13"/>
  <c r="N86" i="13"/>
  <c r="O86" i="13" s="1"/>
  <c r="F86" i="13"/>
  <c r="B86" i="13"/>
  <c r="A86" i="13"/>
  <c r="AR86" i="11"/>
  <c r="AQ86" i="11"/>
  <c r="AP86" i="11"/>
  <c r="AO86" i="11"/>
  <c r="AN86" i="11"/>
  <c r="AM86" i="11"/>
  <c r="AL86" i="11"/>
  <c r="AJ86" i="11"/>
  <c r="AK86" i="11" s="1"/>
  <c r="AI86" i="11"/>
  <c r="AH86" i="11"/>
  <c r="AF86" i="11"/>
  <c r="AD86" i="11"/>
  <c r="AC86" i="11"/>
  <c r="N86" i="11"/>
  <c r="O86" i="11" s="1"/>
  <c r="F86" i="11"/>
  <c r="B86" i="11"/>
  <c r="A86" i="11"/>
  <c r="AR113" i="9"/>
  <c r="AQ113" i="9"/>
  <c r="AP113" i="9"/>
  <c r="AO113" i="9"/>
  <c r="AN113" i="9"/>
  <c r="AM113" i="9"/>
  <c r="AL113" i="9"/>
  <c r="AK113" i="9"/>
  <c r="AJ113" i="9"/>
  <c r="AI113" i="9"/>
  <c r="AH113" i="9"/>
  <c r="AF113" i="9"/>
  <c r="AD113" i="9"/>
  <c r="AC113" i="9"/>
  <c r="N113" i="9"/>
  <c r="O113" i="9" s="1"/>
  <c r="F113" i="9"/>
  <c r="B113" i="9"/>
  <c r="A113" i="9"/>
  <c r="AR140" i="7"/>
  <c r="AQ140" i="7"/>
  <c r="AP140" i="7"/>
  <c r="AO140" i="7"/>
  <c r="AN140" i="7"/>
  <c r="AM140" i="7"/>
  <c r="AL140" i="7"/>
  <c r="AK140" i="7"/>
  <c r="AI140" i="7"/>
  <c r="AH140" i="7"/>
  <c r="AF140" i="7"/>
  <c r="AD140" i="7"/>
  <c r="AC140" i="7"/>
  <c r="M140" i="7"/>
  <c r="N140" i="7" s="1"/>
  <c r="E140" i="7"/>
  <c r="B140" i="7"/>
  <c r="A140" i="7"/>
  <c r="AK52" i="14"/>
  <c r="AL52" i="14" s="1"/>
  <c r="AS52" i="14"/>
  <c r="AR52" i="14"/>
  <c r="AQ52" i="14"/>
  <c r="AP52" i="14"/>
  <c r="AO52" i="14"/>
  <c r="AN52" i="14"/>
  <c r="AM52" i="14"/>
  <c r="AJ52" i="14"/>
  <c r="AI52" i="14"/>
  <c r="AG52" i="14"/>
  <c r="AE52" i="14"/>
  <c r="AD52" i="14"/>
  <c r="N52" i="14"/>
  <c r="O52" i="14" s="1"/>
  <c r="F52" i="14"/>
  <c r="B52" i="14"/>
  <c r="A52" i="14"/>
  <c r="AJ85" i="13"/>
  <c r="R58" i="14" l="1"/>
  <c r="Q58" i="14"/>
  <c r="P58" i="14"/>
  <c r="Q91" i="13"/>
  <c r="P91" i="13"/>
  <c r="R91" i="13"/>
  <c r="Q91" i="11"/>
  <c r="P91" i="11"/>
  <c r="Q118" i="9"/>
  <c r="P118" i="9"/>
  <c r="R118" i="9"/>
  <c r="P145" i="7"/>
  <c r="O145" i="7"/>
  <c r="Q145" i="7"/>
  <c r="Q57" i="14"/>
  <c r="P57" i="14"/>
  <c r="R57" i="14"/>
  <c r="P90" i="13"/>
  <c r="Q90" i="13"/>
  <c r="R90" i="11"/>
  <c r="Q90" i="11"/>
  <c r="P90" i="11"/>
  <c r="R117" i="9"/>
  <c r="Q117" i="9"/>
  <c r="P117" i="9"/>
  <c r="Q144" i="7"/>
  <c r="O144" i="7"/>
  <c r="P144" i="7"/>
  <c r="Q56" i="14"/>
  <c r="P56" i="14"/>
  <c r="R56" i="14"/>
  <c r="R89" i="13"/>
  <c r="Q89" i="13"/>
  <c r="P89" i="13"/>
  <c r="R89" i="11"/>
  <c r="P89" i="11"/>
  <c r="Q116" i="9"/>
  <c r="P116" i="9"/>
  <c r="R116" i="9"/>
  <c r="P143" i="7"/>
  <c r="O143" i="7"/>
  <c r="Q143" i="7"/>
  <c r="R88" i="13"/>
  <c r="Q88" i="13"/>
  <c r="P88" i="13"/>
  <c r="R88" i="11"/>
  <c r="Q88" i="11"/>
  <c r="P88" i="11"/>
  <c r="Q115" i="9"/>
  <c r="R115" i="9"/>
  <c r="P115" i="9"/>
  <c r="O142" i="7"/>
  <c r="P142" i="7"/>
  <c r="Q142" i="7"/>
  <c r="R55" i="14"/>
  <c r="P55" i="14"/>
  <c r="Q55" i="14"/>
  <c r="R54" i="14"/>
  <c r="Q54" i="14"/>
  <c r="P54" i="14"/>
  <c r="R87" i="13"/>
  <c r="P87" i="13"/>
  <c r="R87" i="11"/>
  <c r="Q87" i="11"/>
  <c r="P87" i="11"/>
  <c r="Q114" i="9"/>
  <c r="P114" i="9"/>
  <c r="R114" i="9"/>
  <c r="O141" i="7"/>
  <c r="P141" i="7"/>
  <c r="Q141" i="7"/>
  <c r="R53" i="14"/>
  <c r="P53" i="14"/>
  <c r="R86" i="13"/>
  <c r="Q86" i="13"/>
  <c r="P86" i="13"/>
  <c r="Q86" i="11"/>
  <c r="P86" i="11"/>
  <c r="R86" i="11"/>
  <c r="R113" i="9"/>
  <c r="Q113" i="9"/>
  <c r="P113" i="9"/>
  <c r="P140" i="7"/>
  <c r="Q140" i="7"/>
  <c r="O140" i="7"/>
  <c r="R52" i="14"/>
  <c r="Q52" i="14"/>
  <c r="P52" i="14"/>
  <c r="AR85" i="13" l="1"/>
  <c r="AQ85" i="13"/>
  <c r="AP85" i="13"/>
  <c r="AO85" i="13"/>
  <c r="AN85" i="13"/>
  <c r="AM85" i="13"/>
  <c r="AL85" i="13"/>
  <c r="AK85" i="13"/>
  <c r="AI85" i="13"/>
  <c r="AH85" i="13"/>
  <c r="AF85" i="13"/>
  <c r="AD85" i="13"/>
  <c r="AC85" i="13"/>
  <c r="N85" i="13"/>
  <c r="O85" i="13" s="1"/>
  <c r="F85" i="13"/>
  <c r="B85" i="13"/>
  <c r="A85" i="13"/>
  <c r="R85" i="13" l="1"/>
  <c r="Q85" i="13"/>
  <c r="P85" i="13"/>
  <c r="AR85" i="11"/>
  <c r="AQ85" i="11"/>
  <c r="AP85" i="11"/>
  <c r="AO85" i="11"/>
  <c r="AN85" i="11"/>
  <c r="AM85" i="11"/>
  <c r="AL85" i="11"/>
  <c r="AK85" i="11"/>
  <c r="AJ85" i="11"/>
  <c r="AI85" i="11"/>
  <c r="AH85" i="11"/>
  <c r="AF85" i="11"/>
  <c r="AD85" i="11"/>
  <c r="AC85" i="11"/>
  <c r="N85" i="11"/>
  <c r="O85" i="11" s="1"/>
  <c r="F85" i="11"/>
  <c r="B85" i="11"/>
  <c r="A85" i="11"/>
  <c r="AR112" i="9"/>
  <c r="AQ112" i="9"/>
  <c r="AP112" i="9"/>
  <c r="AO112" i="9"/>
  <c r="AN112" i="9"/>
  <c r="AM112" i="9"/>
  <c r="AL112" i="9"/>
  <c r="AK112" i="9"/>
  <c r="AJ112" i="9"/>
  <c r="AI112" i="9"/>
  <c r="AH112" i="9"/>
  <c r="AF112" i="9"/>
  <c r="AD112" i="9"/>
  <c r="AC112" i="9"/>
  <c r="N112" i="9"/>
  <c r="O112" i="9" s="1"/>
  <c r="F112" i="9"/>
  <c r="B112" i="9"/>
  <c r="A112" i="9"/>
  <c r="AR139" i="7"/>
  <c r="AQ139" i="7"/>
  <c r="AP139" i="7"/>
  <c r="AO139" i="7"/>
  <c r="AN139" i="7"/>
  <c r="AM139" i="7"/>
  <c r="AL139" i="7"/>
  <c r="AK139" i="7"/>
  <c r="AI139" i="7"/>
  <c r="AH139" i="7"/>
  <c r="AF139" i="7"/>
  <c r="AD139" i="7"/>
  <c r="AC139" i="7"/>
  <c r="M139" i="7"/>
  <c r="N139" i="7" s="1"/>
  <c r="E139" i="7"/>
  <c r="B139" i="7"/>
  <c r="A139" i="7"/>
  <c r="AK51" i="14"/>
  <c r="AL51" i="14" s="1"/>
  <c r="AS51" i="14"/>
  <c r="AR51" i="14"/>
  <c r="AQ51" i="14"/>
  <c r="AP51" i="14"/>
  <c r="AO51" i="14"/>
  <c r="AN51" i="14"/>
  <c r="AM51" i="14"/>
  <c r="AJ51" i="14"/>
  <c r="AI51" i="14"/>
  <c r="AG51" i="14"/>
  <c r="AE51" i="14"/>
  <c r="AD51" i="14"/>
  <c r="N51" i="14"/>
  <c r="O51" i="14" s="1"/>
  <c r="Q51" i="14" s="1"/>
  <c r="F51" i="14"/>
  <c r="B51" i="14"/>
  <c r="A51" i="14"/>
  <c r="AJ84" i="13"/>
  <c r="R85" i="11" l="1"/>
  <c r="Q85" i="11"/>
  <c r="P85" i="11"/>
  <c r="R112" i="9"/>
  <c r="P112" i="9"/>
  <c r="Q112" i="9"/>
  <c r="O139" i="7"/>
  <c r="P139" i="7"/>
  <c r="Q139" i="7"/>
  <c r="R51" i="14"/>
  <c r="P51" i="14"/>
  <c r="AR84" i="13" l="1"/>
  <c r="AQ84" i="13"/>
  <c r="AP84" i="13"/>
  <c r="AO84" i="13"/>
  <c r="AN84" i="13"/>
  <c r="AM84" i="13"/>
  <c r="AL84" i="13"/>
  <c r="AK84" i="13"/>
  <c r="AI84" i="13"/>
  <c r="AH84" i="13"/>
  <c r="AF84" i="13"/>
  <c r="AD84" i="13"/>
  <c r="AC84" i="13"/>
  <c r="N84" i="13"/>
  <c r="O84" i="13" s="1"/>
  <c r="F84" i="13"/>
  <c r="B84" i="13"/>
  <c r="A84" i="13"/>
  <c r="AR84" i="11"/>
  <c r="AQ84" i="11"/>
  <c r="AP84" i="11"/>
  <c r="AO84" i="11"/>
  <c r="AN84" i="11"/>
  <c r="AM84" i="11"/>
  <c r="AL84" i="11"/>
  <c r="AK84" i="11"/>
  <c r="AJ84" i="11"/>
  <c r="AI84" i="11"/>
  <c r="AH84" i="11"/>
  <c r="AF84" i="11"/>
  <c r="AD84" i="11"/>
  <c r="AC84" i="11"/>
  <c r="N84" i="11"/>
  <c r="O84" i="11" s="1"/>
  <c r="R84" i="11" s="1"/>
  <c r="F84" i="11"/>
  <c r="B84" i="11"/>
  <c r="A84" i="11"/>
  <c r="AR111" i="9"/>
  <c r="AQ111" i="9"/>
  <c r="AP111" i="9"/>
  <c r="AO111" i="9"/>
  <c r="AN111" i="9"/>
  <c r="AM111" i="9"/>
  <c r="AL111" i="9"/>
  <c r="AJ111" i="9"/>
  <c r="AK111" i="9" s="1"/>
  <c r="AI111" i="9"/>
  <c r="AH111" i="9"/>
  <c r="AF111" i="9"/>
  <c r="AD111" i="9"/>
  <c r="AC111" i="9"/>
  <c r="N111" i="9"/>
  <c r="O111" i="9" s="1"/>
  <c r="Q111" i="9" s="1"/>
  <c r="F111" i="9"/>
  <c r="B111" i="9"/>
  <c r="A111" i="9"/>
  <c r="R84" i="13" l="1"/>
  <c r="Q84" i="13"/>
  <c r="P84" i="13"/>
  <c r="P84" i="11"/>
  <c r="Q84" i="11"/>
  <c r="R111" i="9"/>
  <c r="P111" i="9"/>
  <c r="AR138" i="7" l="1"/>
  <c r="AQ138" i="7"/>
  <c r="AP138" i="7"/>
  <c r="AO138" i="7"/>
  <c r="AN138" i="7"/>
  <c r="AM138" i="7"/>
  <c r="AL138" i="7"/>
  <c r="AK138" i="7"/>
  <c r="AI138" i="7"/>
  <c r="AH138" i="7"/>
  <c r="AF138" i="7"/>
  <c r="AD138" i="7"/>
  <c r="AC138" i="7"/>
  <c r="M138" i="7"/>
  <c r="N138" i="7" s="1"/>
  <c r="E138" i="7"/>
  <c r="B138" i="7"/>
  <c r="A138" i="7"/>
  <c r="AK50" i="14"/>
  <c r="AL50" i="14" s="1"/>
  <c r="AJ83" i="13"/>
  <c r="AK83" i="13" s="1"/>
  <c r="AR83" i="13"/>
  <c r="AQ83" i="13"/>
  <c r="AP83" i="13"/>
  <c r="AO83" i="13"/>
  <c r="AN83" i="13"/>
  <c r="AM83" i="13"/>
  <c r="AL83" i="13"/>
  <c r="AI83" i="13"/>
  <c r="AH83" i="13"/>
  <c r="AF83" i="13"/>
  <c r="AD83" i="13"/>
  <c r="AC83" i="13"/>
  <c r="N83" i="13"/>
  <c r="O83" i="13" s="1"/>
  <c r="F83" i="13"/>
  <c r="B83" i="13"/>
  <c r="A83" i="13"/>
  <c r="AR83" i="11"/>
  <c r="AQ83" i="11"/>
  <c r="AP83" i="11"/>
  <c r="AO83" i="11"/>
  <c r="AN83" i="11"/>
  <c r="AM83" i="11"/>
  <c r="AL83" i="11"/>
  <c r="AJ83" i="11"/>
  <c r="AK83" i="11" s="1"/>
  <c r="AI83" i="11"/>
  <c r="AH83" i="11"/>
  <c r="AF83" i="11"/>
  <c r="AD83" i="11"/>
  <c r="AC83" i="11"/>
  <c r="N83" i="11"/>
  <c r="O83" i="11" s="1"/>
  <c r="F83" i="11"/>
  <c r="B83" i="11"/>
  <c r="A83" i="11"/>
  <c r="AR110" i="9"/>
  <c r="AQ110" i="9"/>
  <c r="AP110" i="9"/>
  <c r="AO110" i="9"/>
  <c r="AN110" i="9"/>
  <c r="AM110" i="9"/>
  <c r="AL110" i="9"/>
  <c r="AJ110" i="9"/>
  <c r="AK110" i="9" s="1"/>
  <c r="AI110" i="9"/>
  <c r="AH110" i="9"/>
  <c r="AF110" i="9"/>
  <c r="AD110" i="9"/>
  <c r="AC110" i="9"/>
  <c r="N110" i="9"/>
  <c r="O110" i="9" s="1"/>
  <c r="F110" i="9"/>
  <c r="B110" i="9"/>
  <c r="A110" i="9"/>
  <c r="AJ126" i="7"/>
  <c r="AR137" i="7"/>
  <c r="AQ137" i="7"/>
  <c r="AP137" i="7"/>
  <c r="AO137" i="7"/>
  <c r="AN137" i="7"/>
  <c r="AM137" i="7"/>
  <c r="AL137" i="7"/>
  <c r="AK137" i="7"/>
  <c r="AI137" i="7"/>
  <c r="AH137" i="7"/>
  <c r="AF137" i="7"/>
  <c r="AD137" i="7"/>
  <c r="AC137" i="7"/>
  <c r="M137" i="7"/>
  <c r="N137" i="7" s="1"/>
  <c r="E137" i="7"/>
  <c r="B137" i="7"/>
  <c r="A137" i="7"/>
  <c r="AS50" i="14"/>
  <c r="AR50" i="14"/>
  <c r="AQ50" i="14"/>
  <c r="AP50" i="14"/>
  <c r="AO50" i="14"/>
  <c r="AN50" i="14"/>
  <c r="AM50" i="14"/>
  <c r="AJ50" i="14"/>
  <c r="AI50" i="14"/>
  <c r="AG50" i="14"/>
  <c r="AE50" i="14"/>
  <c r="AD50" i="14"/>
  <c r="N50" i="14"/>
  <c r="O50" i="14" s="1"/>
  <c r="F50" i="14"/>
  <c r="B50" i="14"/>
  <c r="A50" i="14"/>
  <c r="AK49" i="14"/>
  <c r="AL49" i="14" s="1"/>
  <c r="AS49" i="14"/>
  <c r="AR49" i="14"/>
  <c r="AQ49" i="14"/>
  <c r="AP49" i="14"/>
  <c r="AO49" i="14"/>
  <c r="AN49" i="14"/>
  <c r="AM49" i="14"/>
  <c r="AJ49" i="14"/>
  <c r="N49" i="14"/>
  <c r="O49" i="14" s="1"/>
  <c r="AJ82" i="13"/>
  <c r="AK82" i="13" s="1"/>
  <c r="AR82" i="13"/>
  <c r="AQ82" i="13"/>
  <c r="AP82" i="13"/>
  <c r="AO82" i="13"/>
  <c r="AN82" i="13"/>
  <c r="AM82" i="13"/>
  <c r="AL82" i="13"/>
  <c r="AI82" i="13"/>
  <c r="AH82" i="13"/>
  <c r="AF82" i="13"/>
  <c r="AD82" i="13"/>
  <c r="AC82" i="13"/>
  <c r="N82" i="13"/>
  <c r="O82" i="13" s="1"/>
  <c r="F82" i="13"/>
  <c r="B82" i="13"/>
  <c r="A82" i="13"/>
  <c r="AR82" i="11"/>
  <c r="AQ82" i="11"/>
  <c r="AP82" i="11"/>
  <c r="AO82" i="11"/>
  <c r="AN82" i="11"/>
  <c r="AM82" i="11"/>
  <c r="AL82" i="11"/>
  <c r="AK82" i="11"/>
  <c r="AJ82" i="11"/>
  <c r="AI82" i="11"/>
  <c r="AH82" i="11"/>
  <c r="AF82" i="11"/>
  <c r="AD82" i="11"/>
  <c r="AC82" i="11"/>
  <c r="N82" i="11"/>
  <c r="O82" i="11" s="1"/>
  <c r="F82" i="11"/>
  <c r="B82" i="11"/>
  <c r="A82" i="11"/>
  <c r="AR109" i="9"/>
  <c r="AQ109" i="9"/>
  <c r="AP109" i="9"/>
  <c r="AO109" i="9"/>
  <c r="AN109" i="9"/>
  <c r="AM109" i="9"/>
  <c r="AL109" i="9"/>
  <c r="AJ109" i="9"/>
  <c r="AK109" i="9" s="1"/>
  <c r="AI109" i="9"/>
  <c r="AH109" i="9"/>
  <c r="AF109" i="9"/>
  <c r="AD109" i="9"/>
  <c r="AC109" i="9"/>
  <c r="N109" i="9"/>
  <c r="O109" i="9" s="1"/>
  <c r="F109" i="9"/>
  <c r="B109" i="9"/>
  <c r="A109" i="9"/>
  <c r="AR136" i="7"/>
  <c r="AQ136" i="7"/>
  <c r="AP136" i="7"/>
  <c r="AO136" i="7"/>
  <c r="AN136" i="7"/>
  <c r="AM136" i="7"/>
  <c r="AL136" i="7"/>
  <c r="AJ136" i="7"/>
  <c r="AK136" i="7" s="1"/>
  <c r="AI136" i="7"/>
  <c r="AH136" i="7"/>
  <c r="AF136" i="7"/>
  <c r="AD136" i="7"/>
  <c r="AC136" i="7"/>
  <c r="M136" i="7"/>
  <c r="N136" i="7" s="1"/>
  <c r="E136" i="7"/>
  <c r="B136" i="7"/>
  <c r="A136" i="7"/>
  <c r="AK48" i="14"/>
  <c r="AS48" i="14"/>
  <c r="AR48" i="14"/>
  <c r="AQ48" i="14"/>
  <c r="AP48" i="14"/>
  <c r="AO48" i="14"/>
  <c r="AN48" i="14"/>
  <c r="AM48" i="14"/>
  <c r="AL48" i="14"/>
  <c r="AJ48" i="14"/>
  <c r="N48" i="14"/>
  <c r="O48" i="14" s="1"/>
  <c r="AJ81" i="13"/>
  <c r="AK81" i="13" s="1"/>
  <c r="AR81" i="13"/>
  <c r="AQ81" i="13"/>
  <c r="AP81" i="13"/>
  <c r="AO81" i="13"/>
  <c r="AN81" i="13"/>
  <c r="AM81" i="13"/>
  <c r="AL81" i="13"/>
  <c r="AI81" i="13"/>
  <c r="AH81" i="13"/>
  <c r="AF81" i="13"/>
  <c r="AD81" i="13"/>
  <c r="AC81" i="13"/>
  <c r="N81" i="13"/>
  <c r="O81" i="13" s="1"/>
  <c r="F81" i="13"/>
  <c r="B81" i="13"/>
  <c r="A81" i="13"/>
  <c r="O138" i="7" l="1"/>
  <c r="Q138" i="7"/>
  <c r="P138" i="7"/>
  <c r="R83" i="13"/>
  <c r="Q83" i="13"/>
  <c r="P83" i="13"/>
  <c r="Q83" i="11"/>
  <c r="P83" i="11"/>
  <c r="R83" i="11"/>
  <c r="Q110" i="9"/>
  <c r="P110" i="9"/>
  <c r="R110" i="9"/>
  <c r="Q137" i="7"/>
  <c r="P137" i="7"/>
  <c r="O137" i="7"/>
  <c r="Q50" i="14"/>
  <c r="P50" i="14"/>
  <c r="R50" i="14"/>
  <c r="R82" i="13"/>
  <c r="Q82" i="13"/>
  <c r="P82" i="13"/>
  <c r="R82" i="11"/>
  <c r="Q82" i="11"/>
  <c r="P82" i="11"/>
  <c r="Q109" i="9"/>
  <c r="P109" i="9"/>
  <c r="R109" i="9"/>
  <c r="P136" i="7"/>
  <c r="O136" i="7"/>
  <c r="Q136" i="7"/>
  <c r="R81" i="13"/>
  <c r="Q81" i="13"/>
  <c r="P81" i="13"/>
  <c r="AR81" i="11"/>
  <c r="AQ81" i="11"/>
  <c r="AP81" i="11"/>
  <c r="AO81" i="11"/>
  <c r="AN81" i="11"/>
  <c r="AM81" i="11"/>
  <c r="AL81" i="11"/>
  <c r="AJ81" i="11"/>
  <c r="AK81" i="11" s="1"/>
  <c r="AI81" i="11"/>
  <c r="AH81" i="11"/>
  <c r="AF81" i="11"/>
  <c r="AD81" i="11"/>
  <c r="AC81" i="11"/>
  <c r="N81" i="11"/>
  <c r="O81" i="11" s="1"/>
  <c r="F81" i="11"/>
  <c r="B81" i="11"/>
  <c r="A81" i="11"/>
  <c r="AR108" i="9"/>
  <c r="AQ108" i="9"/>
  <c r="AP108" i="9"/>
  <c r="AO108" i="9"/>
  <c r="AN108" i="9"/>
  <c r="AM108" i="9"/>
  <c r="AL108" i="9"/>
  <c r="AJ108" i="9"/>
  <c r="AK108" i="9" s="1"/>
  <c r="AI108" i="9"/>
  <c r="AH108" i="9"/>
  <c r="AF108" i="9"/>
  <c r="AD108" i="9"/>
  <c r="AC108" i="9"/>
  <c r="N108" i="9"/>
  <c r="O108" i="9" s="1"/>
  <c r="F108" i="9"/>
  <c r="B108" i="9"/>
  <c r="A108" i="9"/>
  <c r="AR135" i="7"/>
  <c r="AQ135" i="7"/>
  <c r="AP135" i="7"/>
  <c r="AO135" i="7"/>
  <c r="AN135" i="7"/>
  <c r="AM135" i="7"/>
  <c r="AJ135" i="7"/>
  <c r="AK135" i="7" s="1"/>
  <c r="AI135" i="7"/>
  <c r="AH135" i="7"/>
  <c r="AF135" i="7"/>
  <c r="AD135" i="7"/>
  <c r="AC135" i="7"/>
  <c r="AL135" i="7"/>
  <c r="M135" i="7"/>
  <c r="N135" i="7" s="1"/>
  <c r="E135" i="7"/>
  <c r="B135" i="7"/>
  <c r="A135" i="7"/>
  <c r="AK47" i="14"/>
  <c r="AS47" i="14"/>
  <c r="AR47" i="14"/>
  <c r="AQ47" i="14"/>
  <c r="AP47" i="14"/>
  <c r="AO47" i="14"/>
  <c r="AN47" i="14"/>
  <c r="AM47" i="14"/>
  <c r="AL47" i="14"/>
  <c r="AJ47" i="14"/>
  <c r="N47" i="14"/>
  <c r="O47" i="14" s="1"/>
  <c r="P49" i="14" s="1"/>
  <c r="AR80" i="13"/>
  <c r="AQ80" i="13"/>
  <c r="AP80" i="13"/>
  <c r="AO80" i="13"/>
  <c r="AN80" i="13"/>
  <c r="AM80" i="13"/>
  <c r="AL80" i="13"/>
  <c r="AJ80" i="13"/>
  <c r="AK80" i="13" s="1"/>
  <c r="AI80" i="13"/>
  <c r="AH80" i="13"/>
  <c r="AF80" i="13"/>
  <c r="AD80" i="13"/>
  <c r="AC80" i="13"/>
  <c r="N80" i="13"/>
  <c r="O80" i="13" s="1"/>
  <c r="F80" i="13"/>
  <c r="B80" i="13"/>
  <c r="A80" i="13"/>
  <c r="AD79" i="11"/>
  <c r="AR80" i="11"/>
  <c r="AQ80" i="11"/>
  <c r="AP80" i="11"/>
  <c r="AO80" i="11"/>
  <c r="AN80" i="11"/>
  <c r="AM80" i="11"/>
  <c r="AL80" i="11"/>
  <c r="AJ80" i="11"/>
  <c r="AK80" i="11" s="1"/>
  <c r="AI80" i="11"/>
  <c r="AH80" i="11"/>
  <c r="AF80" i="11"/>
  <c r="AD80" i="11"/>
  <c r="AC80" i="11"/>
  <c r="N80" i="11"/>
  <c r="O80" i="11" s="1"/>
  <c r="F80" i="11"/>
  <c r="B80" i="11"/>
  <c r="A80" i="11"/>
  <c r="AR107" i="9"/>
  <c r="AQ107" i="9"/>
  <c r="AP107" i="9"/>
  <c r="AO107" i="9"/>
  <c r="AN107" i="9"/>
  <c r="AM107" i="9"/>
  <c r="AL107" i="9"/>
  <c r="AJ107" i="9"/>
  <c r="AK107" i="9" s="1"/>
  <c r="AI107" i="9"/>
  <c r="AH107" i="9"/>
  <c r="AF107" i="9"/>
  <c r="AD107" i="9"/>
  <c r="AC107" i="9"/>
  <c r="P107" i="9"/>
  <c r="O107" i="9"/>
  <c r="R107" i="9" s="1"/>
  <c r="N107" i="9"/>
  <c r="F107" i="9"/>
  <c r="B107" i="9"/>
  <c r="A107" i="9"/>
  <c r="X134" i="7"/>
  <c r="AQ134" i="7" s="1"/>
  <c r="S134" i="7"/>
  <c r="AL134" i="7" s="1"/>
  <c r="AR134" i="7"/>
  <c r="AP134" i="7"/>
  <c r="AO134" i="7"/>
  <c r="AN134" i="7"/>
  <c r="AM134" i="7"/>
  <c r="AJ134" i="7"/>
  <c r="AK134" i="7" s="1"/>
  <c r="AI134" i="7"/>
  <c r="AH134" i="7"/>
  <c r="AF134" i="7"/>
  <c r="AD134" i="7"/>
  <c r="AC134" i="7"/>
  <c r="M134" i="7"/>
  <c r="N134" i="7" s="1"/>
  <c r="E134" i="7"/>
  <c r="B134" i="7"/>
  <c r="A134" i="7"/>
  <c r="AQ179" i="2"/>
  <c r="AP179" i="2"/>
  <c r="AO179" i="2"/>
  <c r="AN179" i="2"/>
  <c r="AM179" i="2"/>
  <c r="AL179" i="2"/>
  <c r="AK179" i="2"/>
  <c r="AI179" i="2"/>
  <c r="AG179" i="2"/>
  <c r="AF179" i="2"/>
  <c r="AD179" i="2"/>
  <c r="AC179" i="2"/>
  <c r="M179" i="2"/>
  <c r="N179" i="2" s="1"/>
  <c r="E179" i="2"/>
  <c r="B179" i="2"/>
  <c r="A179" i="2"/>
  <c r="AK46" i="14"/>
  <c r="AS46" i="14"/>
  <c r="AR46" i="14"/>
  <c r="AQ46" i="14"/>
  <c r="AP46" i="14"/>
  <c r="AO46" i="14"/>
  <c r="AN46" i="14"/>
  <c r="AM46" i="14"/>
  <c r="AL46" i="14"/>
  <c r="AJ46" i="14"/>
  <c r="N46" i="14"/>
  <c r="O46" i="14" s="1"/>
  <c r="AR79" i="13"/>
  <c r="AQ79" i="13"/>
  <c r="AP79" i="13"/>
  <c r="AO79" i="13"/>
  <c r="AN79" i="13"/>
  <c r="AM79" i="13"/>
  <c r="AL79" i="13"/>
  <c r="AJ79" i="13"/>
  <c r="AK79" i="13" s="1"/>
  <c r="AI79" i="13"/>
  <c r="AH79" i="13"/>
  <c r="AF79" i="13"/>
  <c r="AD79" i="13"/>
  <c r="AC79" i="13"/>
  <c r="N79" i="13"/>
  <c r="O79" i="13" s="1"/>
  <c r="F79" i="13"/>
  <c r="B79" i="13"/>
  <c r="A79" i="13"/>
  <c r="AR79" i="11"/>
  <c r="AQ79" i="11"/>
  <c r="AP79" i="11"/>
  <c r="AO79" i="11"/>
  <c r="AN79" i="11"/>
  <c r="AM79" i="11"/>
  <c r="AL79" i="11"/>
  <c r="AJ79" i="11"/>
  <c r="AK79" i="11" s="1"/>
  <c r="AI79" i="11"/>
  <c r="AH79" i="11"/>
  <c r="AF79" i="11"/>
  <c r="AC79" i="11"/>
  <c r="N79" i="11"/>
  <c r="O79" i="11" s="1"/>
  <c r="F79" i="11"/>
  <c r="B79" i="11"/>
  <c r="A79" i="11"/>
  <c r="P48" i="14" l="1"/>
  <c r="R81" i="11"/>
  <c r="Q81" i="11"/>
  <c r="P81" i="11"/>
  <c r="R108" i="9"/>
  <c r="Q108" i="9"/>
  <c r="P108" i="9"/>
  <c r="O135" i="7"/>
  <c r="P135" i="7"/>
  <c r="Q135" i="7"/>
  <c r="P80" i="13"/>
  <c r="R80" i="13"/>
  <c r="Q80" i="13"/>
  <c r="P80" i="11"/>
  <c r="R80" i="11"/>
  <c r="Q80" i="11"/>
  <c r="Q107" i="9"/>
  <c r="P134" i="7"/>
  <c r="O134" i="7"/>
  <c r="Q134" i="7"/>
  <c r="P179" i="2"/>
  <c r="O179" i="2"/>
  <c r="Q179" i="2"/>
  <c r="Q79" i="13"/>
  <c r="R79" i="13"/>
  <c r="P79" i="13"/>
  <c r="Q79" i="11"/>
  <c r="P79" i="11"/>
  <c r="R79" i="11"/>
  <c r="AR106" i="9" l="1"/>
  <c r="AQ106" i="9"/>
  <c r="AP106" i="9"/>
  <c r="AO106" i="9"/>
  <c r="AN106" i="9"/>
  <c r="AM106" i="9"/>
  <c r="AL106" i="9"/>
  <c r="AK106" i="9"/>
  <c r="AJ106" i="9"/>
  <c r="AI106" i="9"/>
  <c r="AH106" i="9"/>
  <c r="AF106" i="9"/>
  <c r="AD106" i="9"/>
  <c r="AC106" i="9"/>
  <c r="N106" i="9"/>
  <c r="O106" i="9" s="1"/>
  <c r="F106" i="9"/>
  <c r="B106" i="9"/>
  <c r="A106" i="9"/>
  <c r="AR133" i="7"/>
  <c r="AQ133" i="7"/>
  <c r="AP133" i="7"/>
  <c r="AO133" i="7"/>
  <c r="AN133" i="7"/>
  <c r="AM133" i="7"/>
  <c r="AL133" i="7"/>
  <c r="AJ133" i="7"/>
  <c r="AK133" i="7" s="1"/>
  <c r="AI133" i="7"/>
  <c r="AH133" i="7"/>
  <c r="AF133" i="7"/>
  <c r="AD133" i="7"/>
  <c r="AC133" i="7"/>
  <c r="M133" i="7"/>
  <c r="N133" i="7" s="1"/>
  <c r="E133" i="7"/>
  <c r="B133" i="7"/>
  <c r="A133" i="7"/>
  <c r="AQ178" i="2"/>
  <c r="AP178" i="2"/>
  <c r="AO178" i="2"/>
  <c r="AN178" i="2"/>
  <c r="AM178" i="2"/>
  <c r="AL178" i="2"/>
  <c r="AK178" i="2"/>
  <c r="AH178" i="2"/>
  <c r="AI178" i="2" s="1"/>
  <c r="AG178" i="2"/>
  <c r="AF178" i="2"/>
  <c r="AD178" i="2"/>
  <c r="AC178" i="2"/>
  <c r="M178" i="2"/>
  <c r="N178" i="2" s="1"/>
  <c r="E178" i="2"/>
  <c r="B178" i="2"/>
  <c r="A178" i="2"/>
  <c r="AS45" i="14"/>
  <c r="AR45" i="14"/>
  <c r="AQ45" i="14"/>
  <c r="AP45" i="14"/>
  <c r="AO45" i="14"/>
  <c r="AN45" i="14"/>
  <c r="AM45" i="14"/>
  <c r="AK45" i="14"/>
  <c r="AL45" i="14" s="1"/>
  <c r="AJ45" i="14"/>
  <c r="N45" i="14"/>
  <c r="O45" i="14" s="1"/>
  <c r="P47" i="14" s="1"/>
  <c r="AR78" i="13"/>
  <c r="AQ78" i="13"/>
  <c r="AP78" i="13"/>
  <c r="AO78" i="13"/>
  <c r="AN78" i="13"/>
  <c r="AM78" i="13"/>
  <c r="AL78" i="13"/>
  <c r="AJ78" i="13"/>
  <c r="AK78" i="13" s="1"/>
  <c r="AI78" i="13"/>
  <c r="AH78" i="13"/>
  <c r="AF78" i="13"/>
  <c r="AD78" i="13"/>
  <c r="AC78" i="13"/>
  <c r="N78" i="13"/>
  <c r="O78" i="13" s="1"/>
  <c r="F78" i="13"/>
  <c r="B78" i="13"/>
  <c r="A78" i="13"/>
  <c r="R106" i="9" l="1"/>
  <c r="Q106" i="9"/>
  <c r="P106" i="9"/>
  <c r="P133" i="7"/>
  <c r="O133" i="7"/>
  <c r="Q133" i="7"/>
  <c r="P178" i="2"/>
  <c r="O178" i="2"/>
  <c r="Q178" i="2"/>
  <c r="P78" i="13"/>
  <c r="Q78" i="13"/>
  <c r="R78" i="13"/>
  <c r="AR78" i="11"/>
  <c r="AQ78" i="11"/>
  <c r="AP78" i="11"/>
  <c r="AO78" i="11"/>
  <c r="AN78" i="11"/>
  <c r="AM78" i="11"/>
  <c r="AL78" i="11"/>
  <c r="AJ78" i="11"/>
  <c r="AK78" i="11" s="1"/>
  <c r="AI78" i="11"/>
  <c r="AH78" i="11"/>
  <c r="AF78" i="11"/>
  <c r="AD78" i="11"/>
  <c r="AC78" i="11"/>
  <c r="N78" i="11"/>
  <c r="O78" i="11" s="1"/>
  <c r="R78" i="11" s="1"/>
  <c r="F78" i="11"/>
  <c r="B78" i="11"/>
  <c r="A78" i="11"/>
  <c r="AR105" i="9"/>
  <c r="AQ105" i="9"/>
  <c r="AP105" i="9"/>
  <c r="AO105" i="9"/>
  <c r="AN105" i="9"/>
  <c r="AM105" i="9"/>
  <c r="AL105" i="9"/>
  <c r="AJ105" i="9"/>
  <c r="AK105" i="9" s="1"/>
  <c r="AI105" i="9"/>
  <c r="AH105" i="9"/>
  <c r="AF105" i="9"/>
  <c r="AD105" i="9"/>
  <c r="AC105" i="9"/>
  <c r="N105" i="9"/>
  <c r="O105" i="9" s="1"/>
  <c r="F105" i="9"/>
  <c r="B105" i="9"/>
  <c r="A105" i="9"/>
  <c r="AR132" i="7"/>
  <c r="AQ132" i="7"/>
  <c r="AP132" i="7"/>
  <c r="AO132" i="7"/>
  <c r="AN132" i="7"/>
  <c r="AM132" i="7"/>
  <c r="AL132" i="7"/>
  <c r="AK132" i="7"/>
  <c r="AJ132" i="7"/>
  <c r="AI132" i="7"/>
  <c r="AH132" i="7"/>
  <c r="AF132" i="7"/>
  <c r="AD132" i="7"/>
  <c r="AC132" i="7"/>
  <c r="M132" i="7"/>
  <c r="N132" i="7" s="1"/>
  <c r="E132" i="7"/>
  <c r="B132" i="7"/>
  <c r="A132" i="7"/>
  <c r="AQ177" i="2"/>
  <c r="AP177" i="2"/>
  <c r="AO177" i="2"/>
  <c r="AN177" i="2"/>
  <c r="AM177" i="2"/>
  <c r="AL177" i="2"/>
  <c r="AK177" i="2"/>
  <c r="AI177" i="2"/>
  <c r="AH177" i="2"/>
  <c r="AG177" i="2"/>
  <c r="AF177" i="2"/>
  <c r="AD177" i="2"/>
  <c r="AC177" i="2"/>
  <c r="M177" i="2"/>
  <c r="N177" i="2" s="1"/>
  <c r="E177" i="2"/>
  <c r="B177" i="2"/>
  <c r="A177" i="2"/>
  <c r="AK44" i="14"/>
  <c r="AK43" i="14"/>
  <c r="P78" i="11" l="1"/>
  <c r="Q78" i="11"/>
  <c r="Q105" i="9"/>
  <c r="R105" i="9"/>
  <c r="P105" i="9"/>
  <c r="Q132" i="7"/>
  <c r="P132" i="7"/>
  <c r="O132" i="7"/>
  <c r="P177" i="2"/>
  <c r="O177" i="2"/>
  <c r="Q177" i="2"/>
  <c r="AS44" i="14"/>
  <c r="AR44" i="14"/>
  <c r="AQ44" i="14"/>
  <c r="AP44" i="14"/>
  <c r="AO44" i="14"/>
  <c r="AN44" i="14"/>
  <c r="AM44" i="14"/>
  <c r="AL44" i="14"/>
  <c r="AJ44" i="14"/>
  <c r="N44" i="14"/>
  <c r="O44" i="14" s="1"/>
  <c r="AJ77" i="13"/>
  <c r="AK77" i="13" s="1"/>
  <c r="AR77" i="13"/>
  <c r="AQ77" i="13"/>
  <c r="AP77" i="13"/>
  <c r="AO77" i="13"/>
  <c r="AN77" i="13"/>
  <c r="AM77" i="13"/>
  <c r="AL77" i="13"/>
  <c r="AI77" i="13"/>
  <c r="AH77" i="13"/>
  <c r="AF77" i="13"/>
  <c r="AD77" i="13"/>
  <c r="AC77" i="13"/>
  <c r="N77" i="13"/>
  <c r="O77" i="13" s="1"/>
  <c r="F77" i="13"/>
  <c r="B77" i="13"/>
  <c r="A77" i="13"/>
  <c r="AR77" i="11"/>
  <c r="AQ77" i="11"/>
  <c r="AP77" i="11"/>
  <c r="AO77" i="11"/>
  <c r="AN77" i="11"/>
  <c r="AM77" i="11"/>
  <c r="AL77" i="11"/>
  <c r="AJ77" i="11"/>
  <c r="AK77" i="11" s="1"/>
  <c r="AI77" i="11"/>
  <c r="AH77" i="11"/>
  <c r="AF77" i="11"/>
  <c r="AD77" i="11"/>
  <c r="AC77" i="11"/>
  <c r="O77" i="11"/>
  <c r="Q77" i="11" s="1"/>
  <c r="N77" i="11"/>
  <c r="F77" i="11"/>
  <c r="B77" i="11"/>
  <c r="A77" i="11"/>
  <c r="AR104" i="9"/>
  <c r="AQ104" i="9"/>
  <c r="AP104" i="9"/>
  <c r="AO104" i="9"/>
  <c r="AN104" i="9"/>
  <c r="AM104" i="9"/>
  <c r="AL104" i="9"/>
  <c r="AK104" i="9"/>
  <c r="AJ104" i="9"/>
  <c r="AI104" i="9"/>
  <c r="AH104" i="9"/>
  <c r="AF104" i="9"/>
  <c r="AD104" i="9"/>
  <c r="AC104" i="9"/>
  <c r="N104" i="9"/>
  <c r="O104" i="9" s="1"/>
  <c r="F104" i="9"/>
  <c r="B104" i="9"/>
  <c r="A104" i="9"/>
  <c r="AR131" i="7"/>
  <c r="AQ131" i="7"/>
  <c r="AP131" i="7"/>
  <c r="AO131" i="7"/>
  <c r="AN131" i="7"/>
  <c r="AM131" i="7"/>
  <c r="AL131" i="7"/>
  <c r="AK131" i="7"/>
  <c r="AJ131" i="7"/>
  <c r="AI131" i="7"/>
  <c r="AH131" i="7"/>
  <c r="AF131" i="7"/>
  <c r="AD131" i="7"/>
  <c r="AC131" i="7"/>
  <c r="M131" i="7"/>
  <c r="N131" i="7" s="1"/>
  <c r="E131" i="7"/>
  <c r="B131" i="7"/>
  <c r="A131" i="7"/>
  <c r="AQ176" i="2"/>
  <c r="AP176" i="2"/>
  <c r="AO176" i="2"/>
  <c r="AN176" i="2"/>
  <c r="AM176" i="2"/>
  <c r="AL176" i="2"/>
  <c r="AK176" i="2"/>
  <c r="AI176" i="2"/>
  <c r="AH176" i="2"/>
  <c r="AG176" i="2"/>
  <c r="AF176" i="2"/>
  <c r="AD176" i="2"/>
  <c r="AC176" i="2"/>
  <c r="M176" i="2"/>
  <c r="N176" i="2" s="1"/>
  <c r="E176" i="2"/>
  <c r="B176" i="2"/>
  <c r="A176" i="2"/>
  <c r="AS43" i="14"/>
  <c r="AR43" i="14"/>
  <c r="AQ43" i="14"/>
  <c r="AP43" i="14"/>
  <c r="AO43" i="14"/>
  <c r="AN43" i="14"/>
  <c r="AM43" i="14"/>
  <c r="AL43" i="14"/>
  <c r="AJ43" i="14"/>
  <c r="N43" i="14"/>
  <c r="O43" i="14" s="1"/>
  <c r="AR76" i="13"/>
  <c r="AQ76" i="13"/>
  <c r="AP76" i="13"/>
  <c r="AO76" i="13"/>
  <c r="AN76" i="13"/>
  <c r="AM76" i="13"/>
  <c r="AL76" i="13"/>
  <c r="AK76" i="13"/>
  <c r="AI76" i="13"/>
  <c r="AH76" i="13"/>
  <c r="AF76" i="13"/>
  <c r="AD76" i="13"/>
  <c r="AC76" i="13"/>
  <c r="N76" i="13"/>
  <c r="O76" i="13" s="1"/>
  <c r="F76" i="13"/>
  <c r="B76" i="13"/>
  <c r="A76" i="13"/>
  <c r="AR76" i="11"/>
  <c r="AQ76" i="11"/>
  <c r="AP76" i="11"/>
  <c r="AO76" i="11"/>
  <c r="AN76" i="11"/>
  <c r="AM76" i="11"/>
  <c r="AL76" i="11"/>
  <c r="AK76" i="11"/>
  <c r="AJ76" i="11"/>
  <c r="AI76" i="11"/>
  <c r="AH76" i="11"/>
  <c r="AF76" i="11"/>
  <c r="AD76" i="11"/>
  <c r="AC76" i="11"/>
  <c r="N76" i="11"/>
  <c r="O76" i="11" s="1"/>
  <c r="F76" i="11"/>
  <c r="B76" i="11"/>
  <c r="A76" i="11"/>
  <c r="AR103" i="9"/>
  <c r="AQ103" i="9"/>
  <c r="AP103" i="9"/>
  <c r="AO103" i="9"/>
  <c r="AN103" i="9"/>
  <c r="AM103" i="9"/>
  <c r="AL103" i="9"/>
  <c r="AJ103" i="9"/>
  <c r="AK103" i="9" s="1"/>
  <c r="AI103" i="9"/>
  <c r="AH103" i="9"/>
  <c r="AF103" i="9"/>
  <c r="AD103" i="9"/>
  <c r="AC103" i="9"/>
  <c r="N103" i="9"/>
  <c r="O103" i="9" s="1"/>
  <c r="F103" i="9"/>
  <c r="B103" i="9"/>
  <c r="A103" i="9"/>
  <c r="AR130" i="7"/>
  <c r="AQ130" i="7"/>
  <c r="AP130" i="7"/>
  <c r="AO130" i="7"/>
  <c r="AN130" i="7"/>
  <c r="AM130" i="7"/>
  <c r="AL130" i="7"/>
  <c r="AJ130" i="7"/>
  <c r="AK130" i="7" s="1"/>
  <c r="AI130" i="7"/>
  <c r="AH130" i="7"/>
  <c r="AF130" i="7"/>
  <c r="AD130" i="7"/>
  <c r="AC130" i="7"/>
  <c r="M130" i="7"/>
  <c r="N130" i="7" s="1"/>
  <c r="E130" i="7"/>
  <c r="B130" i="7"/>
  <c r="A130" i="7"/>
  <c r="AQ175" i="2"/>
  <c r="AP175" i="2"/>
  <c r="AO175" i="2"/>
  <c r="AN175" i="2"/>
  <c r="AM175" i="2"/>
  <c r="AL175" i="2"/>
  <c r="AK175" i="2"/>
  <c r="AH175" i="2"/>
  <c r="AI175" i="2" s="1"/>
  <c r="AG175" i="2"/>
  <c r="AF175" i="2"/>
  <c r="AD175" i="2"/>
  <c r="AC175" i="2"/>
  <c r="N175" i="2"/>
  <c r="P175" i="2" s="1"/>
  <c r="M175" i="2"/>
  <c r="E175" i="2"/>
  <c r="B175" i="2"/>
  <c r="A175" i="2"/>
  <c r="AS42" i="14"/>
  <c r="AR42" i="14"/>
  <c r="AQ42" i="14"/>
  <c r="AP42" i="14"/>
  <c r="AO42" i="14"/>
  <c r="AN42" i="14"/>
  <c r="AM42" i="14"/>
  <c r="AL42" i="14"/>
  <c r="AJ42" i="14"/>
  <c r="N42" i="14"/>
  <c r="O42" i="14" s="1"/>
  <c r="Q47" i="14" s="1"/>
  <c r="AR75" i="13"/>
  <c r="AQ75" i="13"/>
  <c r="AP75" i="13"/>
  <c r="AO75" i="13"/>
  <c r="AN75" i="13"/>
  <c r="AM75" i="13"/>
  <c r="AL75" i="13"/>
  <c r="AK75" i="13"/>
  <c r="AI75" i="13"/>
  <c r="AH75" i="13"/>
  <c r="AF75" i="13"/>
  <c r="AD75" i="13"/>
  <c r="AC75" i="13"/>
  <c r="O75" i="13"/>
  <c r="P75" i="13" s="1"/>
  <c r="N75" i="13"/>
  <c r="F75" i="13"/>
  <c r="B75" i="13"/>
  <c r="A75" i="13"/>
  <c r="AR75" i="11"/>
  <c r="AQ75" i="11"/>
  <c r="AP75" i="11"/>
  <c r="AO75" i="11"/>
  <c r="AN75" i="11"/>
  <c r="AM75" i="11"/>
  <c r="AL75" i="11"/>
  <c r="AK75" i="11"/>
  <c r="AJ75" i="11"/>
  <c r="AI75" i="11"/>
  <c r="AH75" i="11"/>
  <c r="AF75" i="11"/>
  <c r="AD75" i="11"/>
  <c r="AC75" i="11"/>
  <c r="N75" i="11"/>
  <c r="O75" i="11" s="1"/>
  <c r="F75" i="11"/>
  <c r="B75" i="11"/>
  <c r="A75" i="11"/>
  <c r="AR102" i="9"/>
  <c r="AQ102" i="9"/>
  <c r="AP102" i="9"/>
  <c r="AO102" i="9"/>
  <c r="AN102" i="9"/>
  <c r="AM102" i="9"/>
  <c r="AL102" i="9"/>
  <c r="AJ102" i="9"/>
  <c r="AK102" i="9" s="1"/>
  <c r="AI102" i="9"/>
  <c r="AH102" i="9"/>
  <c r="AF102" i="9"/>
  <c r="AD102" i="9"/>
  <c r="AC102" i="9"/>
  <c r="N102" i="9"/>
  <c r="O102" i="9" s="1"/>
  <c r="F102" i="9"/>
  <c r="B102" i="9"/>
  <c r="A102" i="9"/>
  <c r="AR129" i="7"/>
  <c r="AQ129" i="7"/>
  <c r="AP129" i="7"/>
  <c r="AO129" i="7"/>
  <c r="AN129" i="7"/>
  <c r="AM129" i="7"/>
  <c r="AL129" i="7"/>
  <c r="AK129" i="7"/>
  <c r="AJ129" i="7"/>
  <c r="AI129" i="7"/>
  <c r="AH129" i="7"/>
  <c r="AF129" i="7"/>
  <c r="AD129" i="7"/>
  <c r="AC129" i="7"/>
  <c r="M129" i="7"/>
  <c r="N129" i="7" s="1"/>
  <c r="E129" i="7"/>
  <c r="B129" i="7"/>
  <c r="A129" i="7"/>
  <c r="AQ174" i="2"/>
  <c r="AP174" i="2"/>
  <c r="AO174" i="2"/>
  <c r="AN174" i="2"/>
  <c r="AM174" i="2"/>
  <c r="AL174" i="2"/>
  <c r="AK174" i="2"/>
  <c r="AI174" i="2"/>
  <c r="AH174" i="2"/>
  <c r="AG174" i="2"/>
  <c r="AF174" i="2"/>
  <c r="AD174" i="2"/>
  <c r="AC174" i="2"/>
  <c r="M174" i="2"/>
  <c r="N174" i="2" s="1"/>
  <c r="P174" i="2" s="1"/>
  <c r="E174" i="2"/>
  <c r="B174" i="2"/>
  <c r="A174" i="2"/>
  <c r="AS41" i="14"/>
  <c r="AR41" i="14"/>
  <c r="AQ41" i="14"/>
  <c r="AP41" i="14"/>
  <c r="AO41" i="14"/>
  <c r="AN41" i="14"/>
  <c r="AM41" i="14"/>
  <c r="AL41" i="14"/>
  <c r="AJ41" i="14"/>
  <c r="N41" i="14"/>
  <c r="O41" i="14" s="1"/>
  <c r="Q46" i="14" s="1"/>
  <c r="AR74" i="13"/>
  <c r="AQ74" i="13"/>
  <c r="AP74" i="13"/>
  <c r="AO74" i="13"/>
  <c r="AN74" i="13"/>
  <c r="AM74" i="13"/>
  <c r="AL74" i="13"/>
  <c r="AK74" i="13"/>
  <c r="AI74" i="13"/>
  <c r="AH74" i="13"/>
  <c r="AF74" i="13"/>
  <c r="AD74" i="13"/>
  <c r="AC74" i="13"/>
  <c r="N74" i="13"/>
  <c r="O74" i="13" s="1"/>
  <c r="F74" i="13"/>
  <c r="B74" i="13"/>
  <c r="A74" i="13"/>
  <c r="AR74" i="11"/>
  <c r="AQ74" i="11"/>
  <c r="AP74" i="11"/>
  <c r="AO74" i="11"/>
  <c r="AN74" i="11"/>
  <c r="AM74" i="11"/>
  <c r="AL74" i="11"/>
  <c r="AK74" i="11"/>
  <c r="AJ74" i="11"/>
  <c r="AI74" i="11"/>
  <c r="AH74" i="11"/>
  <c r="AF74" i="11"/>
  <c r="AD74" i="11"/>
  <c r="AC74" i="11"/>
  <c r="O74" i="11"/>
  <c r="R74" i="11" s="1"/>
  <c r="N74" i="11"/>
  <c r="F74" i="11"/>
  <c r="B74" i="11"/>
  <c r="A74" i="11"/>
  <c r="AR101" i="9"/>
  <c r="AQ101" i="9"/>
  <c r="AP101" i="9"/>
  <c r="AO101" i="9"/>
  <c r="AN101" i="9"/>
  <c r="AM101" i="9"/>
  <c r="AL101" i="9"/>
  <c r="AJ101" i="9"/>
  <c r="AK101" i="9" s="1"/>
  <c r="AI101" i="9"/>
  <c r="AH101" i="9"/>
  <c r="AF101" i="9"/>
  <c r="AD101" i="9"/>
  <c r="AC101" i="9"/>
  <c r="N101" i="9"/>
  <c r="O101" i="9" s="1"/>
  <c r="F101" i="9"/>
  <c r="B101" i="9"/>
  <c r="A101" i="9"/>
  <c r="AR128" i="7"/>
  <c r="AQ128" i="7"/>
  <c r="AP128" i="7"/>
  <c r="AO128" i="7"/>
  <c r="AN128" i="7"/>
  <c r="AM128" i="7"/>
  <c r="AL128" i="7"/>
  <c r="AK128" i="7"/>
  <c r="AJ128" i="7"/>
  <c r="AI128" i="7"/>
  <c r="AH128" i="7"/>
  <c r="AF128" i="7"/>
  <c r="AD128" i="7"/>
  <c r="AC128" i="7"/>
  <c r="M128" i="7"/>
  <c r="N128" i="7" s="1"/>
  <c r="E128" i="7"/>
  <c r="B128" i="7"/>
  <c r="A128" i="7"/>
  <c r="AQ173" i="2"/>
  <c r="AP173" i="2"/>
  <c r="AO173" i="2"/>
  <c r="AN173" i="2"/>
  <c r="AM173" i="2"/>
  <c r="AL173" i="2"/>
  <c r="AK173" i="2"/>
  <c r="AI173" i="2"/>
  <c r="AH173" i="2"/>
  <c r="AG173" i="2"/>
  <c r="AF173" i="2"/>
  <c r="AD173" i="2"/>
  <c r="AC173" i="2"/>
  <c r="M173" i="2"/>
  <c r="N173" i="2" s="1"/>
  <c r="E173" i="2"/>
  <c r="B173" i="2"/>
  <c r="A173" i="2"/>
  <c r="AS40" i="14"/>
  <c r="AR40" i="14"/>
  <c r="AQ40" i="14"/>
  <c r="AP40" i="14"/>
  <c r="AO40" i="14"/>
  <c r="AN40" i="14"/>
  <c r="AM40" i="14"/>
  <c r="AL40" i="14"/>
  <c r="AJ40" i="14"/>
  <c r="N40" i="14"/>
  <c r="O40" i="14" s="1"/>
  <c r="Q45" i="14" s="1"/>
  <c r="AR73" i="13"/>
  <c r="AQ73" i="13"/>
  <c r="AP73" i="13"/>
  <c r="AO73" i="13"/>
  <c r="AN73" i="13"/>
  <c r="AM73" i="13"/>
  <c r="AL73" i="13"/>
  <c r="AK73" i="13"/>
  <c r="AI73" i="13"/>
  <c r="AH73" i="13"/>
  <c r="AF73" i="13"/>
  <c r="AD73" i="13"/>
  <c r="AC73" i="13"/>
  <c r="N73" i="13"/>
  <c r="O73" i="13" s="1"/>
  <c r="P73" i="13" s="1"/>
  <c r="F73" i="13"/>
  <c r="B73" i="13"/>
  <c r="A73" i="13"/>
  <c r="AD2" i="11"/>
  <c r="AD73" i="11"/>
  <c r="AR73" i="11"/>
  <c r="AQ73" i="11"/>
  <c r="AP73" i="11"/>
  <c r="AO73" i="11"/>
  <c r="AN73" i="11"/>
  <c r="AM73" i="11"/>
  <c r="AL73" i="11"/>
  <c r="AK73" i="11"/>
  <c r="AJ73" i="11"/>
  <c r="AI73" i="11"/>
  <c r="AH73" i="11"/>
  <c r="AF73" i="11"/>
  <c r="AC73" i="11"/>
  <c r="N73" i="11"/>
  <c r="O73" i="11" s="1"/>
  <c r="F73" i="11"/>
  <c r="B73" i="11"/>
  <c r="A73" i="11"/>
  <c r="AR100" i="9"/>
  <c r="AQ100" i="9"/>
  <c r="AP100" i="9"/>
  <c r="AO100" i="9"/>
  <c r="AN100" i="9"/>
  <c r="AM100" i="9"/>
  <c r="AL100" i="9"/>
  <c r="AJ100" i="9"/>
  <c r="AK100" i="9" s="1"/>
  <c r="AI100" i="9"/>
  <c r="AH100" i="9"/>
  <c r="AF100" i="9"/>
  <c r="AD100" i="9"/>
  <c r="AC100" i="9"/>
  <c r="N100" i="9"/>
  <c r="O100" i="9" s="1"/>
  <c r="F100" i="9"/>
  <c r="B100" i="9"/>
  <c r="A100" i="9"/>
  <c r="AR127" i="7"/>
  <c r="AQ127" i="7"/>
  <c r="AP127" i="7"/>
  <c r="AO127" i="7"/>
  <c r="AN127" i="7"/>
  <c r="AM127" i="7"/>
  <c r="AL127" i="7"/>
  <c r="AJ127" i="7"/>
  <c r="AK127" i="7" s="1"/>
  <c r="AI127" i="7"/>
  <c r="AH127" i="7"/>
  <c r="AF127" i="7"/>
  <c r="AD127" i="7"/>
  <c r="AC127" i="7"/>
  <c r="M127" i="7"/>
  <c r="N127" i="7" s="1"/>
  <c r="E127" i="7"/>
  <c r="B127" i="7"/>
  <c r="A127" i="7"/>
  <c r="AQ172" i="2"/>
  <c r="AP172" i="2"/>
  <c r="AO172" i="2"/>
  <c r="AN172" i="2"/>
  <c r="AM172" i="2"/>
  <c r="AL172" i="2"/>
  <c r="AK172" i="2"/>
  <c r="AH172" i="2"/>
  <c r="AI172" i="2" s="1"/>
  <c r="AG172" i="2"/>
  <c r="AF172" i="2"/>
  <c r="AD172" i="2"/>
  <c r="AC172" i="2"/>
  <c r="M172" i="2"/>
  <c r="N172" i="2" s="1"/>
  <c r="E172" i="2"/>
  <c r="B172" i="2"/>
  <c r="A172" i="2"/>
  <c r="AS39" i="14"/>
  <c r="AR39" i="14"/>
  <c r="AQ39" i="14"/>
  <c r="AP39" i="14"/>
  <c r="AO39" i="14"/>
  <c r="AN39" i="14"/>
  <c r="AM39" i="14"/>
  <c r="AL39" i="14"/>
  <c r="AJ39" i="14"/>
  <c r="N39" i="14"/>
  <c r="O39" i="14" s="1"/>
  <c r="AR72" i="13"/>
  <c r="AQ72" i="13"/>
  <c r="AP72" i="13"/>
  <c r="AO72" i="13"/>
  <c r="AN72" i="13"/>
  <c r="AM72" i="13"/>
  <c r="AL72" i="13"/>
  <c r="AK72" i="13"/>
  <c r="AI72" i="13"/>
  <c r="AH72" i="13"/>
  <c r="AF72" i="13"/>
  <c r="AD72" i="13"/>
  <c r="AC72" i="13"/>
  <c r="N72" i="13"/>
  <c r="O72" i="13" s="1"/>
  <c r="F72" i="13"/>
  <c r="B72" i="13"/>
  <c r="A72" i="13"/>
  <c r="Q48" i="14" l="1"/>
  <c r="P45" i="14"/>
  <c r="Q49" i="14"/>
  <c r="P46" i="14"/>
  <c r="Q44" i="14"/>
  <c r="P44" i="14"/>
  <c r="P77" i="13"/>
  <c r="Q77" i="13"/>
  <c r="R77" i="13"/>
  <c r="R77" i="11"/>
  <c r="P77" i="11"/>
  <c r="R104" i="9"/>
  <c r="Q104" i="9"/>
  <c r="P104" i="9"/>
  <c r="Q131" i="7"/>
  <c r="P131" i="7"/>
  <c r="O131" i="7"/>
  <c r="P176" i="2"/>
  <c r="O176" i="2"/>
  <c r="Q176" i="2"/>
  <c r="P43" i="14"/>
  <c r="P76" i="13"/>
  <c r="R76" i="13"/>
  <c r="Q76" i="13"/>
  <c r="R76" i="11"/>
  <c r="Q76" i="11"/>
  <c r="P76" i="11"/>
  <c r="Q103" i="9"/>
  <c r="P103" i="9"/>
  <c r="R103" i="9"/>
  <c r="Q130" i="7"/>
  <c r="P130" i="7"/>
  <c r="O130" i="7"/>
  <c r="O175" i="2"/>
  <c r="Q175" i="2"/>
  <c r="Q42" i="14"/>
  <c r="P42" i="14"/>
  <c r="Q75" i="13"/>
  <c r="R75" i="13"/>
  <c r="R75" i="11"/>
  <c r="Q75" i="11"/>
  <c r="P75" i="11"/>
  <c r="P102" i="9"/>
  <c r="Q102" i="9"/>
  <c r="R102" i="9"/>
  <c r="Q129" i="7"/>
  <c r="P129" i="7"/>
  <c r="O129" i="7"/>
  <c r="Q174" i="2"/>
  <c r="O174" i="2"/>
  <c r="P41" i="14"/>
  <c r="Q74" i="13"/>
  <c r="R74" i="13"/>
  <c r="P74" i="13"/>
  <c r="P74" i="11"/>
  <c r="Q74" i="11"/>
  <c r="R101" i="9"/>
  <c r="Q101" i="9"/>
  <c r="P101" i="9"/>
  <c r="P128" i="7"/>
  <c r="O128" i="7"/>
  <c r="Q128" i="7"/>
  <c r="P173" i="2"/>
  <c r="Q173" i="2"/>
  <c r="O173" i="2"/>
  <c r="P40" i="14"/>
  <c r="Q73" i="13"/>
  <c r="R73" i="13"/>
  <c r="R73" i="11"/>
  <c r="Q73" i="11"/>
  <c r="P73" i="11"/>
  <c r="R100" i="9"/>
  <c r="Q100" i="9"/>
  <c r="P100" i="9"/>
  <c r="O127" i="7"/>
  <c r="Q127" i="7"/>
  <c r="P127" i="7"/>
  <c r="P172" i="2"/>
  <c r="Q172" i="2"/>
  <c r="O172" i="2"/>
  <c r="P72" i="13"/>
  <c r="Q72" i="13"/>
  <c r="R72" i="13"/>
  <c r="AR72" i="11"/>
  <c r="AQ72" i="11"/>
  <c r="AP72" i="11"/>
  <c r="AO72" i="11"/>
  <c r="AN72" i="11"/>
  <c r="AM72" i="11"/>
  <c r="AL72" i="11"/>
  <c r="AK72" i="11"/>
  <c r="AJ72" i="11"/>
  <c r="AI72" i="11"/>
  <c r="AH72" i="11"/>
  <c r="AF72" i="11"/>
  <c r="AD72" i="11"/>
  <c r="AC72" i="11"/>
  <c r="N72" i="11"/>
  <c r="O72" i="11" s="1"/>
  <c r="F72" i="11"/>
  <c r="B72" i="11"/>
  <c r="A72" i="11"/>
  <c r="AR99" i="9"/>
  <c r="AQ99" i="9"/>
  <c r="AP99" i="9"/>
  <c r="AO99" i="9"/>
  <c r="AN99" i="9"/>
  <c r="AM99" i="9"/>
  <c r="AL99" i="9"/>
  <c r="AK99" i="9"/>
  <c r="AJ99" i="9"/>
  <c r="AI99" i="9"/>
  <c r="AH99" i="9"/>
  <c r="AF99" i="9"/>
  <c r="AD99" i="9"/>
  <c r="AC99" i="9"/>
  <c r="N99" i="9"/>
  <c r="O99" i="9" s="1"/>
  <c r="F99" i="9"/>
  <c r="B99" i="9"/>
  <c r="A99" i="9"/>
  <c r="AR126" i="7"/>
  <c r="AQ126" i="7"/>
  <c r="AP126" i="7"/>
  <c r="AO126" i="7"/>
  <c r="AN126" i="7"/>
  <c r="AM126" i="7"/>
  <c r="AL126" i="7"/>
  <c r="AK126" i="7"/>
  <c r="AI126" i="7"/>
  <c r="AH126" i="7"/>
  <c r="AF126" i="7"/>
  <c r="AD126" i="7"/>
  <c r="AC126" i="7"/>
  <c r="M126" i="7"/>
  <c r="N126" i="7" s="1"/>
  <c r="E126" i="7"/>
  <c r="B126" i="7"/>
  <c r="A126" i="7"/>
  <c r="AQ171" i="2"/>
  <c r="AP171" i="2"/>
  <c r="AO171" i="2"/>
  <c r="AN171" i="2"/>
  <c r="AM171" i="2"/>
  <c r="AL171" i="2"/>
  <c r="AK171" i="2"/>
  <c r="AH171" i="2"/>
  <c r="AI171" i="2" s="1"/>
  <c r="AG171" i="2"/>
  <c r="AF171" i="2"/>
  <c r="AD171" i="2"/>
  <c r="AC171" i="2"/>
  <c r="M171" i="2"/>
  <c r="N171" i="2" s="1"/>
  <c r="P171" i="2" s="1"/>
  <c r="E171" i="2"/>
  <c r="B171" i="2"/>
  <c r="A171" i="2"/>
  <c r="AS38" i="14"/>
  <c r="AR38" i="14"/>
  <c r="AQ38" i="14"/>
  <c r="AP38" i="14"/>
  <c r="AO38" i="14"/>
  <c r="AN38" i="14"/>
  <c r="AM38" i="14"/>
  <c r="AL38" i="14"/>
  <c r="AJ38" i="14"/>
  <c r="N38" i="14"/>
  <c r="O38" i="14" s="1"/>
  <c r="R49" i="14" s="1"/>
  <c r="AR71" i="13"/>
  <c r="AQ71" i="13"/>
  <c r="AP71" i="13"/>
  <c r="AO71" i="13"/>
  <c r="AN71" i="13"/>
  <c r="AM71" i="13"/>
  <c r="AL71" i="13"/>
  <c r="AK71" i="13"/>
  <c r="AI71" i="13"/>
  <c r="AH71" i="13"/>
  <c r="AF71" i="13"/>
  <c r="AD71" i="13"/>
  <c r="AC71" i="13"/>
  <c r="N71" i="13"/>
  <c r="O71" i="13" s="1"/>
  <c r="Q71" i="13" s="1"/>
  <c r="F71" i="13"/>
  <c r="B71" i="13"/>
  <c r="A71" i="13"/>
  <c r="AR71" i="11"/>
  <c r="AQ71" i="11"/>
  <c r="AP71" i="11"/>
  <c r="AO71" i="11"/>
  <c r="AN71" i="11"/>
  <c r="AM71" i="11"/>
  <c r="AL71" i="11"/>
  <c r="AJ71" i="11"/>
  <c r="AK71" i="11" s="1"/>
  <c r="AI71" i="11"/>
  <c r="AH71" i="11"/>
  <c r="AF71" i="11"/>
  <c r="AD71" i="11"/>
  <c r="AC71" i="11"/>
  <c r="Q71" i="11"/>
  <c r="O71" i="11"/>
  <c r="P71" i="11" s="1"/>
  <c r="N71" i="11"/>
  <c r="F71" i="11"/>
  <c r="B71" i="11"/>
  <c r="A71" i="11"/>
  <c r="AR98" i="9"/>
  <c r="AQ98" i="9"/>
  <c r="AP98" i="9"/>
  <c r="AO98" i="9"/>
  <c r="AN98" i="9"/>
  <c r="AM98" i="9"/>
  <c r="AL98" i="9"/>
  <c r="AJ98" i="9"/>
  <c r="AK98" i="9" s="1"/>
  <c r="AI98" i="9"/>
  <c r="AH98" i="9"/>
  <c r="AF98" i="9"/>
  <c r="AD98" i="9"/>
  <c r="AC98" i="9"/>
  <c r="N98" i="9"/>
  <c r="O98" i="9" s="1"/>
  <c r="F98" i="9"/>
  <c r="B98" i="9"/>
  <c r="A98" i="9"/>
  <c r="AR125" i="7"/>
  <c r="AQ125" i="7"/>
  <c r="AP125" i="7"/>
  <c r="AO125" i="7"/>
  <c r="AN125" i="7"/>
  <c r="AM125" i="7"/>
  <c r="AL125" i="7"/>
  <c r="AJ125" i="7"/>
  <c r="AK125" i="7" s="1"/>
  <c r="AI125" i="7"/>
  <c r="AH125" i="7"/>
  <c r="AF125" i="7"/>
  <c r="AD125" i="7"/>
  <c r="AC125" i="7"/>
  <c r="M125" i="7"/>
  <c r="N125" i="7" s="1"/>
  <c r="E125" i="7"/>
  <c r="B125" i="7"/>
  <c r="A125" i="7"/>
  <c r="AQ170" i="2"/>
  <c r="AP170" i="2"/>
  <c r="AO170" i="2"/>
  <c r="AN170" i="2"/>
  <c r="AM170" i="2"/>
  <c r="AL170" i="2"/>
  <c r="AK170" i="2"/>
  <c r="AI170" i="2"/>
  <c r="AH170" i="2"/>
  <c r="AG170" i="2"/>
  <c r="AF170" i="2"/>
  <c r="AD170" i="2"/>
  <c r="AC170" i="2"/>
  <c r="M170" i="2"/>
  <c r="N170" i="2" s="1"/>
  <c r="E170" i="2"/>
  <c r="B170" i="2"/>
  <c r="A170" i="2"/>
  <c r="AS37" i="14"/>
  <c r="AR37" i="14"/>
  <c r="AQ37" i="14"/>
  <c r="AP37" i="14"/>
  <c r="AO37" i="14"/>
  <c r="AN37" i="14"/>
  <c r="AM37" i="14"/>
  <c r="AL37" i="14"/>
  <c r="AJ37" i="14"/>
  <c r="N37" i="14"/>
  <c r="O37" i="14" s="1"/>
  <c r="R48" i="14" s="1"/>
  <c r="AR70" i="13"/>
  <c r="AQ70" i="13"/>
  <c r="AP70" i="13"/>
  <c r="AO70" i="13"/>
  <c r="AN70" i="13"/>
  <c r="AM70" i="13"/>
  <c r="AL70" i="13"/>
  <c r="AK70" i="13"/>
  <c r="AI70" i="13"/>
  <c r="AH70" i="13"/>
  <c r="AF70" i="13"/>
  <c r="AD70" i="13"/>
  <c r="AC70" i="13"/>
  <c r="N70" i="13"/>
  <c r="O70" i="13" s="1"/>
  <c r="F70" i="13"/>
  <c r="B70" i="13"/>
  <c r="A70" i="13"/>
  <c r="AR70" i="11"/>
  <c r="AQ70" i="11"/>
  <c r="AP70" i="11"/>
  <c r="AO70" i="11"/>
  <c r="AN70" i="11"/>
  <c r="AM70" i="11"/>
  <c r="AL70" i="11"/>
  <c r="AK70" i="11"/>
  <c r="AJ70" i="11"/>
  <c r="AI70" i="11"/>
  <c r="AH70" i="11"/>
  <c r="AF70" i="11"/>
  <c r="AD70" i="11"/>
  <c r="AC70" i="11"/>
  <c r="N70" i="11"/>
  <c r="O70" i="11" s="1"/>
  <c r="F70" i="11"/>
  <c r="B70" i="11"/>
  <c r="A70" i="11"/>
  <c r="AR97" i="9"/>
  <c r="AQ97" i="9"/>
  <c r="AP97" i="9"/>
  <c r="AO97" i="9"/>
  <c r="AN97" i="9"/>
  <c r="AM97" i="9"/>
  <c r="AL97" i="9"/>
  <c r="AK97" i="9"/>
  <c r="AJ97" i="9"/>
  <c r="AI97" i="9"/>
  <c r="AH97" i="9"/>
  <c r="AF97" i="9"/>
  <c r="AD97" i="9"/>
  <c r="AC97" i="9"/>
  <c r="N97" i="9"/>
  <c r="O97" i="9" s="1"/>
  <c r="F97" i="9"/>
  <c r="B97" i="9"/>
  <c r="A97" i="9"/>
  <c r="Q43" i="14" l="1"/>
  <c r="P39" i="14"/>
  <c r="R72" i="11"/>
  <c r="Q72" i="11"/>
  <c r="P72" i="11"/>
  <c r="R99" i="9"/>
  <c r="P99" i="9"/>
  <c r="Q99" i="9"/>
  <c r="Q126" i="7"/>
  <c r="P126" i="7"/>
  <c r="O126" i="7"/>
  <c r="Q171" i="2"/>
  <c r="O171" i="2"/>
  <c r="R71" i="13"/>
  <c r="P71" i="13"/>
  <c r="R71" i="11"/>
  <c r="R98" i="9"/>
  <c r="P98" i="9"/>
  <c r="Q98" i="9"/>
  <c r="P125" i="7"/>
  <c r="Q125" i="7"/>
  <c r="O125" i="7"/>
  <c r="P170" i="2"/>
  <c r="O170" i="2"/>
  <c r="Q170" i="2"/>
  <c r="P70" i="13"/>
  <c r="Q70" i="13"/>
  <c r="R70" i="13"/>
  <c r="R70" i="11"/>
  <c r="Q70" i="11"/>
  <c r="P70" i="11"/>
  <c r="R97" i="9"/>
  <c r="Q97" i="9"/>
  <c r="P97" i="9"/>
  <c r="AR124" i="7"/>
  <c r="AQ124" i="7"/>
  <c r="AP124" i="7"/>
  <c r="AO124" i="7"/>
  <c r="AN124" i="7"/>
  <c r="AM124" i="7"/>
  <c r="AL124" i="7"/>
  <c r="AJ124" i="7"/>
  <c r="AK124" i="7" s="1"/>
  <c r="AI124" i="7"/>
  <c r="AH124" i="7"/>
  <c r="AF124" i="7"/>
  <c r="AD124" i="7"/>
  <c r="AC124" i="7"/>
  <c r="M124" i="7"/>
  <c r="N124" i="7" s="1"/>
  <c r="E124" i="7"/>
  <c r="B124" i="7"/>
  <c r="A124" i="7"/>
  <c r="AQ169" i="2"/>
  <c r="AP169" i="2"/>
  <c r="AO169" i="2"/>
  <c r="AN169" i="2"/>
  <c r="AM169" i="2"/>
  <c r="AL169" i="2"/>
  <c r="AK169" i="2"/>
  <c r="AI169" i="2"/>
  <c r="AH169" i="2"/>
  <c r="AG169" i="2"/>
  <c r="AF169" i="2"/>
  <c r="AD169" i="2"/>
  <c r="AC169" i="2"/>
  <c r="M169" i="2"/>
  <c r="N169" i="2" s="1"/>
  <c r="P169" i="2" s="1"/>
  <c r="E169" i="2"/>
  <c r="B169" i="2"/>
  <c r="A169" i="2"/>
  <c r="Q124" i="7" l="1"/>
  <c r="P124" i="7"/>
  <c r="O124" i="7"/>
  <c r="O169" i="2"/>
  <c r="Q169" i="2"/>
  <c r="AM36" i="14"/>
  <c r="AS36" i="14"/>
  <c r="AR36" i="14"/>
  <c r="AQ36" i="14"/>
  <c r="AP36" i="14"/>
  <c r="AO36" i="14"/>
  <c r="AN36" i="14"/>
  <c r="AL36" i="14"/>
  <c r="AJ36" i="14"/>
  <c r="N36" i="14"/>
  <c r="O36" i="14" s="1"/>
  <c r="AR69" i="13"/>
  <c r="AQ69" i="13"/>
  <c r="AP69" i="13"/>
  <c r="AO69" i="13"/>
  <c r="AN69" i="13"/>
  <c r="AM69" i="13"/>
  <c r="AL69" i="13"/>
  <c r="AK69" i="13"/>
  <c r="AI69" i="13"/>
  <c r="AH69" i="13"/>
  <c r="AF69" i="13"/>
  <c r="AD69" i="13"/>
  <c r="AC69" i="13"/>
  <c r="N69" i="13"/>
  <c r="O69" i="13" s="1"/>
  <c r="F69" i="13"/>
  <c r="B69" i="13"/>
  <c r="A69" i="13"/>
  <c r="AR96" i="9"/>
  <c r="AQ96" i="9"/>
  <c r="AP96" i="9"/>
  <c r="AO96" i="9"/>
  <c r="AN96" i="9"/>
  <c r="AM96" i="9"/>
  <c r="AL96" i="9"/>
  <c r="AJ96" i="9"/>
  <c r="AK96" i="9" s="1"/>
  <c r="AI96" i="9"/>
  <c r="AH96" i="9"/>
  <c r="AF96" i="9"/>
  <c r="AD96" i="9"/>
  <c r="AC96" i="9"/>
  <c r="N96" i="9"/>
  <c r="O96" i="9" s="1"/>
  <c r="F96" i="9"/>
  <c r="B96" i="9"/>
  <c r="A96" i="9"/>
  <c r="AR69" i="11"/>
  <c r="AQ69" i="11"/>
  <c r="AP69" i="11"/>
  <c r="AO69" i="11"/>
  <c r="AN69" i="11"/>
  <c r="AM69" i="11"/>
  <c r="AL69" i="11"/>
  <c r="AJ69" i="11"/>
  <c r="AK69" i="11" s="1"/>
  <c r="AI69" i="11"/>
  <c r="AH69" i="11"/>
  <c r="AF69" i="11"/>
  <c r="AD69" i="11"/>
  <c r="AC69" i="11"/>
  <c r="N69" i="11"/>
  <c r="O69" i="11" s="1"/>
  <c r="F69" i="11"/>
  <c r="B69" i="11"/>
  <c r="A69" i="11"/>
  <c r="AR123" i="7"/>
  <c r="AQ123" i="7"/>
  <c r="AP123" i="7"/>
  <c r="AO123" i="7"/>
  <c r="AN123" i="7"/>
  <c r="AM123" i="7"/>
  <c r="AL123" i="7"/>
  <c r="AJ123" i="7"/>
  <c r="AK123" i="7" s="1"/>
  <c r="AI123" i="7"/>
  <c r="AH123" i="7"/>
  <c r="AF123" i="7"/>
  <c r="AD123" i="7"/>
  <c r="AC123" i="7"/>
  <c r="M123" i="7"/>
  <c r="N123" i="7" s="1"/>
  <c r="E123" i="7"/>
  <c r="B123" i="7"/>
  <c r="A123" i="7"/>
  <c r="R47" i="14" l="1"/>
  <c r="Q41" i="14"/>
  <c r="P38" i="14"/>
  <c r="P69" i="13"/>
  <c r="Q69" i="13"/>
  <c r="R69" i="13"/>
  <c r="R96" i="9"/>
  <c r="Q96" i="9"/>
  <c r="P96" i="9"/>
  <c r="Q69" i="11"/>
  <c r="P69" i="11"/>
  <c r="R69" i="11"/>
  <c r="P123" i="7"/>
  <c r="O123" i="7"/>
  <c r="Q123" i="7"/>
  <c r="AQ168" i="2" l="1"/>
  <c r="AP168" i="2"/>
  <c r="AO168" i="2"/>
  <c r="AN168" i="2"/>
  <c r="AM168" i="2"/>
  <c r="AL168" i="2"/>
  <c r="AK168" i="2"/>
  <c r="AI168" i="2"/>
  <c r="AH168" i="2"/>
  <c r="AG168" i="2"/>
  <c r="AF168" i="2"/>
  <c r="AD168" i="2"/>
  <c r="AC168" i="2"/>
  <c r="M168" i="2"/>
  <c r="N168" i="2" s="1"/>
  <c r="E168" i="2"/>
  <c r="B168" i="2"/>
  <c r="A168" i="2"/>
  <c r="AS35" i="14"/>
  <c r="AR35" i="14"/>
  <c r="AQ35" i="14"/>
  <c r="AP35" i="14"/>
  <c r="AO35" i="14"/>
  <c r="AN35" i="14"/>
  <c r="AM35" i="14"/>
  <c r="AL35" i="14"/>
  <c r="AJ35" i="14"/>
  <c r="N35" i="14"/>
  <c r="O35" i="14" s="1"/>
  <c r="AR68" i="13"/>
  <c r="AQ68" i="13"/>
  <c r="AP68" i="13"/>
  <c r="AO68" i="13"/>
  <c r="AN68" i="13"/>
  <c r="AM68" i="13"/>
  <c r="AL68" i="13"/>
  <c r="AK68" i="13"/>
  <c r="AI68" i="13"/>
  <c r="AH68" i="13"/>
  <c r="AF68" i="13"/>
  <c r="AD68" i="13"/>
  <c r="AC68" i="13"/>
  <c r="N68" i="13"/>
  <c r="O68" i="13" s="1"/>
  <c r="F68" i="13"/>
  <c r="B68" i="13"/>
  <c r="A68" i="13"/>
  <c r="AR68" i="11"/>
  <c r="AQ68" i="11"/>
  <c r="AP68" i="11"/>
  <c r="AO68" i="11"/>
  <c r="AN68" i="11"/>
  <c r="AM68" i="11"/>
  <c r="AL68" i="11"/>
  <c r="AK68" i="11"/>
  <c r="AJ68" i="11"/>
  <c r="AI68" i="11"/>
  <c r="AH68" i="11"/>
  <c r="AF68" i="11"/>
  <c r="AD68" i="11"/>
  <c r="AC68" i="11"/>
  <c r="N68" i="11"/>
  <c r="O68" i="11" s="1"/>
  <c r="F68" i="11"/>
  <c r="B68" i="11"/>
  <c r="A68" i="11"/>
  <c r="AR95" i="9"/>
  <c r="AQ95" i="9"/>
  <c r="AP95" i="9"/>
  <c r="AO95" i="9"/>
  <c r="AN95" i="9"/>
  <c r="AM95" i="9"/>
  <c r="AL95" i="9"/>
  <c r="AK95" i="9"/>
  <c r="AJ95" i="9"/>
  <c r="AI95" i="9"/>
  <c r="AH95" i="9"/>
  <c r="AF95" i="9"/>
  <c r="AD95" i="9"/>
  <c r="AC95" i="9"/>
  <c r="N95" i="9"/>
  <c r="O95" i="9" s="1"/>
  <c r="F95" i="9"/>
  <c r="B95" i="9"/>
  <c r="A95" i="9"/>
  <c r="AR122" i="7"/>
  <c r="AQ122" i="7"/>
  <c r="AP122" i="7"/>
  <c r="AO122" i="7"/>
  <c r="AN122" i="7"/>
  <c r="AM122" i="7"/>
  <c r="AL122" i="7"/>
  <c r="AJ122" i="7"/>
  <c r="AK122" i="7" s="1"/>
  <c r="AI122" i="7"/>
  <c r="AH122" i="7"/>
  <c r="AF122" i="7"/>
  <c r="AD122" i="7"/>
  <c r="AC122" i="7"/>
  <c r="M122" i="7"/>
  <c r="N122" i="7" s="1"/>
  <c r="E122" i="7"/>
  <c r="B122" i="7"/>
  <c r="A122" i="7"/>
  <c r="AQ167" i="2"/>
  <c r="AP167" i="2"/>
  <c r="AO167" i="2"/>
  <c r="AN167" i="2"/>
  <c r="AM167" i="2"/>
  <c r="AL167" i="2"/>
  <c r="AK167" i="2"/>
  <c r="AI167" i="2"/>
  <c r="AH167" i="2"/>
  <c r="AG167" i="2"/>
  <c r="AF167" i="2"/>
  <c r="AD167" i="2"/>
  <c r="AC167" i="2"/>
  <c r="M167" i="2"/>
  <c r="N167" i="2" s="1"/>
  <c r="E167" i="2"/>
  <c r="B167" i="2"/>
  <c r="A167" i="2"/>
  <c r="AS34" i="14"/>
  <c r="AR34" i="14"/>
  <c r="AQ34" i="14"/>
  <c r="AP34" i="14"/>
  <c r="AO34" i="14"/>
  <c r="AN34" i="14"/>
  <c r="AM34" i="14"/>
  <c r="AL34" i="14"/>
  <c r="AJ34" i="14"/>
  <c r="N34" i="14"/>
  <c r="O34" i="14" s="1"/>
  <c r="AS33" i="14"/>
  <c r="AR33" i="14"/>
  <c r="AQ33" i="14"/>
  <c r="AP33" i="14"/>
  <c r="AO33" i="14"/>
  <c r="AN33" i="14"/>
  <c r="AM33" i="14"/>
  <c r="AL33" i="14"/>
  <c r="AJ33" i="14"/>
  <c r="N33" i="14"/>
  <c r="O33" i="14" s="1"/>
  <c r="AR67" i="13"/>
  <c r="AQ67" i="13"/>
  <c r="AP67" i="13"/>
  <c r="AO67" i="13"/>
  <c r="AN67" i="13"/>
  <c r="AM67" i="13"/>
  <c r="AL67" i="13"/>
  <c r="AK67" i="13"/>
  <c r="AI67" i="13"/>
  <c r="AH67" i="13"/>
  <c r="AF67" i="13"/>
  <c r="AD67" i="13"/>
  <c r="AC67" i="13"/>
  <c r="N67" i="13"/>
  <c r="O67" i="13" s="1"/>
  <c r="P67" i="13" s="1"/>
  <c r="F67" i="13"/>
  <c r="B67" i="13"/>
  <c r="A67" i="13"/>
  <c r="AR66" i="13"/>
  <c r="AQ66" i="13"/>
  <c r="AP66" i="13"/>
  <c r="AO66" i="13"/>
  <c r="AN66" i="13"/>
  <c r="AM66" i="13"/>
  <c r="AL66" i="13"/>
  <c r="AK66" i="13"/>
  <c r="AI66" i="13"/>
  <c r="AH66" i="13"/>
  <c r="AF66" i="13"/>
  <c r="AD66" i="13"/>
  <c r="AC66" i="13"/>
  <c r="N66" i="13"/>
  <c r="O66" i="13" s="1"/>
  <c r="F66" i="13"/>
  <c r="B66" i="13"/>
  <c r="A66" i="13"/>
  <c r="AR67" i="11"/>
  <c r="AQ67" i="11"/>
  <c r="AP67" i="11"/>
  <c r="AO67" i="11"/>
  <c r="AN67" i="11"/>
  <c r="AM67" i="11"/>
  <c r="AL67" i="11"/>
  <c r="AK67" i="11"/>
  <c r="AJ67" i="11"/>
  <c r="AI67" i="11"/>
  <c r="AH67" i="11"/>
  <c r="AF67" i="11"/>
  <c r="AD67" i="11"/>
  <c r="AC67" i="11"/>
  <c r="N67" i="11"/>
  <c r="O67" i="11" s="1"/>
  <c r="F67" i="11"/>
  <c r="B67" i="11"/>
  <c r="A67" i="11"/>
  <c r="AR66" i="11"/>
  <c r="AQ66" i="11"/>
  <c r="AP66" i="11"/>
  <c r="AO66" i="11"/>
  <c r="AN66" i="11"/>
  <c r="AM66" i="11"/>
  <c r="AL66" i="11"/>
  <c r="AJ66" i="11"/>
  <c r="AK66" i="11" s="1"/>
  <c r="AI66" i="11"/>
  <c r="AH66" i="11"/>
  <c r="AF66" i="11"/>
  <c r="AD66" i="11"/>
  <c r="AC66" i="11"/>
  <c r="N66" i="11"/>
  <c r="O66" i="11" s="1"/>
  <c r="F66" i="11"/>
  <c r="B66" i="11"/>
  <c r="A66" i="11"/>
  <c r="AR94" i="9"/>
  <c r="AQ94" i="9"/>
  <c r="AP94" i="9"/>
  <c r="AO94" i="9"/>
  <c r="AN94" i="9"/>
  <c r="AM94" i="9"/>
  <c r="AL94" i="9"/>
  <c r="AJ94" i="9"/>
  <c r="AK94" i="9" s="1"/>
  <c r="AI94" i="9"/>
  <c r="AH94" i="9"/>
  <c r="AF94" i="9"/>
  <c r="AD94" i="9"/>
  <c r="AC94" i="9"/>
  <c r="N94" i="9"/>
  <c r="O94" i="9" s="1"/>
  <c r="F94" i="9"/>
  <c r="B94" i="9"/>
  <c r="A94" i="9"/>
  <c r="R46" i="14" l="1"/>
  <c r="Q40" i="14"/>
  <c r="P37" i="14"/>
  <c r="R44" i="14"/>
  <c r="Q38" i="14"/>
  <c r="R45" i="14"/>
  <c r="Q39" i="14"/>
  <c r="P36" i="14"/>
  <c r="P168" i="2"/>
  <c r="O168" i="2"/>
  <c r="Q168" i="2"/>
  <c r="P35" i="14"/>
  <c r="Q68" i="13"/>
  <c r="P68" i="13"/>
  <c r="R68" i="13"/>
  <c r="R68" i="11"/>
  <c r="Q68" i="11"/>
  <c r="P68" i="11"/>
  <c r="R95" i="9"/>
  <c r="Q95" i="9"/>
  <c r="P95" i="9"/>
  <c r="Q122" i="7"/>
  <c r="O122" i="7"/>
  <c r="P122" i="7"/>
  <c r="P167" i="2"/>
  <c r="O167" i="2"/>
  <c r="Q167" i="2"/>
  <c r="Q67" i="13"/>
  <c r="R67" i="13"/>
  <c r="P66" i="13"/>
  <c r="Q66" i="13"/>
  <c r="R66" i="13"/>
  <c r="R67" i="11"/>
  <c r="Q67" i="11"/>
  <c r="P67" i="11"/>
  <c r="Q66" i="11"/>
  <c r="P66" i="11"/>
  <c r="R66" i="11"/>
  <c r="P94" i="9"/>
  <c r="Q94" i="9"/>
  <c r="R94" i="9"/>
  <c r="AR93" i="9"/>
  <c r="AQ93" i="9"/>
  <c r="AP93" i="9"/>
  <c r="AO93" i="9"/>
  <c r="AN93" i="9"/>
  <c r="AM93" i="9"/>
  <c r="AL93" i="9"/>
  <c r="AJ93" i="9"/>
  <c r="AK93" i="9" s="1"/>
  <c r="AI93" i="9"/>
  <c r="AH93" i="9"/>
  <c r="AF93" i="9"/>
  <c r="AD93" i="9"/>
  <c r="AC93" i="9"/>
  <c r="N93" i="9"/>
  <c r="O93" i="9" s="1"/>
  <c r="Q93" i="9" s="1"/>
  <c r="F93" i="9"/>
  <c r="B93" i="9"/>
  <c r="A93" i="9"/>
  <c r="AR121" i="7"/>
  <c r="AQ121" i="7"/>
  <c r="AP121" i="7"/>
  <c r="AO121" i="7"/>
  <c r="AN121" i="7"/>
  <c r="AM121" i="7"/>
  <c r="AL121" i="7"/>
  <c r="AK121" i="7"/>
  <c r="AJ121" i="7"/>
  <c r="AI121" i="7"/>
  <c r="AH121" i="7"/>
  <c r="AF121" i="7"/>
  <c r="AD121" i="7"/>
  <c r="AC121" i="7"/>
  <c r="M121" i="7"/>
  <c r="N121" i="7" s="1"/>
  <c r="E121" i="7"/>
  <c r="B121" i="7"/>
  <c r="A121" i="7"/>
  <c r="AR120" i="7"/>
  <c r="AQ120" i="7"/>
  <c r="AP120" i="7"/>
  <c r="AO120" i="7"/>
  <c r="AN120" i="7"/>
  <c r="AM120" i="7"/>
  <c r="AL120" i="7"/>
  <c r="AJ120" i="7"/>
  <c r="AK120" i="7" s="1"/>
  <c r="AI120" i="7"/>
  <c r="AH120" i="7"/>
  <c r="AF120" i="7"/>
  <c r="AD120" i="7"/>
  <c r="AC120" i="7"/>
  <c r="M120" i="7"/>
  <c r="N120" i="7" s="1"/>
  <c r="E120" i="7"/>
  <c r="B120" i="7"/>
  <c r="A120" i="7"/>
  <c r="AQ166" i="2"/>
  <c r="AP166" i="2"/>
  <c r="AO166" i="2"/>
  <c r="AN166" i="2"/>
  <c r="AM166" i="2"/>
  <c r="AL166" i="2"/>
  <c r="AK166" i="2"/>
  <c r="AH166" i="2"/>
  <c r="AI166" i="2" s="1"/>
  <c r="AG166" i="2"/>
  <c r="AF166" i="2"/>
  <c r="AD166" i="2"/>
  <c r="AC166" i="2"/>
  <c r="M166" i="2"/>
  <c r="N166" i="2" s="1"/>
  <c r="E166" i="2"/>
  <c r="B166" i="2"/>
  <c r="A166" i="2"/>
  <c r="AQ165" i="2"/>
  <c r="AP165" i="2"/>
  <c r="AO165" i="2"/>
  <c r="AN165" i="2"/>
  <c r="AM165" i="2"/>
  <c r="AL165" i="2"/>
  <c r="AK165" i="2"/>
  <c r="AI165" i="2"/>
  <c r="AH165" i="2"/>
  <c r="AG165" i="2"/>
  <c r="AF165" i="2"/>
  <c r="AD165" i="2"/>
  <c r="AC165" i="2"/>
  <c r="M165" i="2"/>
  <c r="N165" i="2" s="1"/>
  <c r="E165" i="2"/>
  <c r="B165" i="2"/>
  <c r="A165" i="2"/>
  <c r="AS32" i="14"/>
  <c r="AR32" i="14"/>
  <c r="AQ32" i="14"/>
  <c r="AP32" i="14"/>
  <c r="AO32" i="14"/>
  <c r="AN32" i="14"/>
  <c r="AM32" i="14"/>
  <c r="AL32" i="14"/>
  <c r="AJ32" i="14"/>
  <c r="N32" i="14"/>
  <c r="O32" i="14" s="1"/>
  <c r="AR65" i="13"/>
  <c r="AQ65" i="13"/>
  <c r="AP65" i="13"/>
  <c r="AO65" i="13"/>
  <c r="AN65" i="13"/>
  <c r="AM65" i="13"/>
  <c r="AL65" i="13"/>
  <c r="AK65" i="13"/>
  <c r="AI65" i="13"/>
  <c r="AH65" i="13"/>
  <c r="AF65" i="13"/>
  <c r="AD65" i="13"/>
  <c r="AC65" i="13"/>
  <c r="N65" i="13"/>
  <c r="O65" i="13" s="1"/>
  <c r="Q65" i="13" s="1"/>
  <c r="F65" i="13"/>
  <c r="B65" i="13"/>
  <c r="A65" i="13"/>
  <c r="AR65" i="11"/>
  <c r="AQ65" i="11"/>
  <c r="AP65" i="11"/>
  <c r="AO65" i="11"/>
  <c r="AN65" i="11"/>
  <c r="AM65" i="11"/>
  <c r="AL65" i="11"/>
  <c r="AK65" i="11"/>
  <c r="AJ65" i="11"/>
  <c r="AI65" i="11"/>
  <c r="AH65" i="11"/>
  <c r="AF65" i="11"/>
  <c r="AD65" i="11"/>
  <c r="AC65" i="11"/>
  <c r="N65" i="11"/>
  <c r="O65" i="11" s="1"/>
  <c r="F65" i="11"/>
  <c r="B65" i="11"/>
  <c r="A65" i="11"/>
  <c r="AR92" i="9"/>
  <c r="AQ92" i="9"/>
  <c r="AP92" i="9"/>
  <c r="AO92" i="9"/>
  <c r="AN92" i="9"/>
  <c r="AM92" i="9"/>
  <c r="AL92" i="9"/>
  <c r="AJ92" i="9"/>
  <c r="AK92" i="9" s="1"/>
  <c r="AI92" i="9"/>
  <c r="AH92" i="9"/>
  <c r="AF92" i="9"/>
  <c r="AD92" i="9"/>
  <c r="AC92" i="9"/>
  <c r="N92" i="9"/>
  <c r="O92" i="9" s="1"/>
  <c r="F92" i="9"/>
  <c r="B92" i="9"/>
  <c r="A92" i="9"/>
  <c r="AR119" i="7"/>
  <c r="AQ119" i="7"/>
  <c r="AP119" i="7"/>
  <c r="AO119" i="7"/>
  <c r="AN119" i="7"/>
  <c r="AM119" i="7"/>
  <c r="AL119" i="7"/>
  <c r="AJ119" i="7"/>
  <c r="AK119" i="7" s="1"/>
  <c r="AI119" i="7"/>
  <c r="AH119" i="7"/>
  <c r="AF119" i="7"/>
  <c r="AD119" i="7"/>
  <c r="AC119" i="7"/>
  <c r="M119" i="7"/>
  <c r="N119" i="7" s="1"/>
  <c r="E119" i="7"/>
  <c r="B119" i="7"/>
  <c r="A119" i="7"/>
  <c r="AQ164" i="2"/>
  <c r="AP164" i="2"/>
  <c r="AO164" i="2"/>
  <c r="AN164" i="2"/>
  <c r="AM164" i="2"/>
  <c r="AL164" i="2"/>
  <c r="AK164" i="2"/>
  <c r="AI164" i="2"/>
  <c r="AH164" i="2"/>
  <c r="AG164" i="2"/>
  <c r="AF164" i="2"/>
  <c r="AD164" i="2"/>
  <c r="AC164" i="2"/>
  <c r="M164" i="2"/>
  <c r="N164" i="2" s="1"/>
  <c r="P164" i="2" s="1"/>
  <c r="E164" i="2"/>
  <c r="B164" i="2"/>
  <c r="A164" i="2"/>
  <c r="AS31" i="14"/>
  <c r="AL31" i="14"/>
  <c r="AR31" i="14"/>
  <c r="AQ31" i="14"/>
  <c r="AP31" i="14"/>
  <c r="AO31" i="14"/>
  <c r="AN31" i="14"/>
  <c r="AM31" i="14"/>
  <c r="AJ31" i="14"/>
  <c r="N31" i="14"/>
  <c r="O31" i="14" s="1"/>
  <c r="AR64" i="11"/>
  <c r="AQ64" i="11"/>
  <c r="AP64" i="11"/>
  <c r="AO64" i="11"/>
  <c r="AN64" i="11"/>
  <c r="AM64" i="11"/>
  <c r="AL64" i="11"/>
  <c r="AK64" i="11"/>
  <c r="AJ64" i="11"/>
  <c r="AI64" i="11"/>
  <c r="AH64" i="11"/>
  <c r="AF64" i="11"/>
  <c r="AD64" i="11"/>
  <c r="AC64" i="11"/>
  <c r="N64" i="11"/>
  <c r="O64" i="11" s="1"/>
  <c r="F64" i="11"/>
  <c r="B64" i="11"/>
  <c r="A64" i="11"/>
  <c r="AR118" i="7"/>
  <c r="AQ118" i="7"/>
  <c r="AP118" i="7"/>
  <c r="AO118" i="7"/>
  <c r="AN118" i="7"/>
  <c r="AM118" i="7"/>
  <c r="AL118" i="7"/>
  <c r="AJ118" i="7"/>
  <c r="AK118" i="7" s="1"/>
  <c r="AI118" i="7"/>
  <c r="AH118" i="7"/>
  <c r="AF118" i="7"/>
  <c r="AD118" i="7"/>
  <c r="AC118" i="7"/>
  <c r="M118" i="7"/>
  <c r="N118" i="7" s="1"/>
  <c r="E118" i="7"/>
  <c r="B118" i="7"/>
  <c r="A118" i="7"/>
  <c r="AQ163" i="2"/>
  <c r="AP163" i="2"/>
  <c r="AO163" i="2"/>
  <c r="AN163" i="2"/>
  <c r="AM163" i="2"/>
  <c r="AL163" i="2"/>
  <c r="AK163" i="2"/>
  <c r="AI163" i="2"/>
  <c r="AH163" i="2"/>
  <c r="AG163" i="2"/>
  <c r="AF163" i="2"/>
  <c r="AD163" i="2"/>
  <c r="AC163" i="2"/>
  <c r="M163" i="2"/>
  <c r="N163" i="2" s="1"/>
  <c r="E163" i="2"/>
  <c r="B163" i="2"/>
  <c r="A163" i="2"/>
  <c r="AR64" i="13"/>
  <c r="AQ64" i="13"/>
  <c r="AP64" i="13"/>
  <c r="AO64" i="13"/>
  <c r="AN64" i="13"/>
  <c r="AM64" i="13"/>
  <c r="AL64" i="13"/>
  <c r="AK64" i="13"/>
  <c r="AI64" i="13"/>
  <c r="AH64" i="13"/>
  <c r="AF64" i="13"/>
  <c r="AD64" i="13"/>
  <c r="AC64" i="13"/>
  <c r="N64" i="13"/>
  <c r="O64" i="13" s="1"/>
  <c r="F64" i="13"/>
  <c r="B64" i="13"/>
  <c r="A64" i="13"/>
  <c r="AR91" i="9"/>
  <c r="AQ91" i="9"/>
  <c r="AP91" i="9"/>
  <c r="AO91" i="9"/>
  <c r="AN91" i="9"/>
  <c r="AM91" i="9"/>
  <c r="AL91" i="9"/>
  <c r="AK91" i="9"/>
  <c r="AJ91" i="9"/>
  <c r="AI91" i="9"/>
  <c r="AH91" i="9"/>
  <c r="AF91" i="9"/>
  <c r="AD91" i="9"/>
  <c r="AC91" i="9"/>
  <c r="N91" i="9"/>
  <c r="O91" i="9" s="1"/>
  <c r="F91" i="9"/>
  <c r="B91" i="9"/>
  <c r="A91" i="9"/>
  <c r="AS30" i="14"/>
  <c r="AR30" i="14"/>
  <c r="AQ30" i="14"/>
  <c r="AP30" i="14"/>
  <c r="AO30" i="14"/>
  <c r="AN30" i="14"/>
  <c r="AM30" i="14"/>
  <c r="AL30" i="14"/>
  <c r="AJ30" i="14"/>
  <c r="N30" i="14"/>
  <c r="O30" i="14" s="1"/>
  <c r="AR63" i="13"/>
  <c r="AQ63" i="13"/>
  <c r="AP63" i="13"/>
  <c r="AO63" i="13"/>
  <c r="AN63" i="13"/>
  <c r="AM63" i="13"/>
  <c r="AL63" i="13"/>
  <c r="AK63" i="13"/>
  <c r="AI63" i="13"/>
  <c r="AH63" i="13"/>
  <c r="AF63" i="13"/>
  <c r="AD63" i="13"/>
  <c r="AC63" i="13"/>
  <c r="N63" i="13"/>
  <c r="O63" i="13" s="1"/>
  <c r="F63" i="13"/>
  <c r="B63" i="13"/>
  <c r="A63" i="13"/>
  <c r="AR63" i="11"/>
  <c r="AQ63" i="11"/>
  <c r="AP63" i="11"/>
  <c r="AO63" i="11"/>
  <c r="AN63" i="11"/>
  <c r="AM63" i="11"/>
  <c r="AL63" i="11"/>
  <c r="AJ63" i="11"/>
  <c r="AK63" i="11" s="1"/>
  <c r="AI63" i="11"/>
  <c r="AH63" i="11"/>
  <c r="AF63" i="11"/>
  <c r="AD63" i="11"/>
  <c r="AC63" i="11"/>
  <c r="N63" i="11"/>
  <c r="O63" i="11" s="1"/>
  <c r="F63" i="11"/>
  <c r="B63" i="11"/>
  <c r="A63" i="11"/>
  <c r="AR90" i="9"/>
  <c r="AQ90" i="9"/>
  <c r="AP90" i="9"/>
  <c r="AO90" i="9"/>
  <c r="AN90" i="9"/>
  <c r="AM90" i="9"/>
  <c r="AL90" i="9"/>
  <c r="AJ90" i="9"/>
  <c r="AK90" i="9" s="1"/>
  <c r="AI90" i="9"/>
  <c r="AH90" i="9"/>
  <c r="AF90" i="9"/>
  <c r="AD90" i="9"/>
  <c r="AC90" i="9"/>
  <c r="N90" i="9"/>
  <c r="O90" i="9" s="1"/>
  <c r="F90" i="9"/>
  <c r="B90" i="9"/>
  <c r="A90" i="9"/>
  <c r="E117" i="7"/>
  <c r="AR117" i="7"/>
  <c r="AQ117" i="7"/>
  <c r="AP117" i="7"/>
  <c r="AO117" i="7"/>
  <c r="AN117" i="7"/>
  <c r="AM117" i="7"/>
  <c r="AL117" i="7"/>
  <c r="AJ117" i="7"/>
  <c r="AK117" i="7" s="1"/>
  <c r="AI117" i="7"/>
  <c r="AH117" i="7"/>
  <c r="AF117" i="7"/>
  <c r="AD117" i="7"/>
  <c r="AC117" i="7"/>
  <c r="M117" i="7"/>
  <c r="N117" i="7" s="1"/>
  <c r="B117" i="7"/>
  <c r="A117" i="7"/>
  <c r="AQ162" i="2"/>
  <c r="AP162" i="2"/>
  <c r="AO162" i="2"/>
  <c r="AN162" i="2"/>
  <c r="AM162" i="2"/>
  <c r="AL162" i="2"/>
  <c r="AK162" i="2"/>
  <c r="AI162" i="2"/>
  <c r="AH162" i="2"/>
  <c r="AG162" i="2"/>
  <c r="AF162" i="2"/>
  <c r="AD162" i="2"/>
  <c r="AC162" i="2"/>
  <c r="M162" i="2"/>
  <c r="N162" i="2" s="1"/>
  <c r="E162" i="2"/>
  <c r="B162" i="2"/>
  <c r="A162" i="2"/>
  <c r="AS29" i="14"/>
  <c r="AR29" i="14"/>
  <c r="AQ29" i="14"/>
  <c r="AP29" i="14"/>
  <c r="AO29" i="14"/>
  <c r="AN29" i="14"/>
  <c r="AM29" i="14"/>
  <c r="AL29" i="14"/>
  <c r="AJ29" i="14"/>
  <c r="N29" i="14"/>
  <c r="O29" i="14" s="1"/>
  <c r="AR62" i="13"/>
  <c r="AQ62" i="13"/>
  <c r="AP62" i="13"/>
  <c r="AO62" i="13"/>
  <c r="AN62" i="13"/>
  <c r="AM62" i="13"/>
  <c r="AL62" i="13"/>
  <c r="AK62" i="13"/>
  <c r="AI62" i="13"/>
  <c r="AH62" i="13"/>
  <c r="AF62" i="13"/>
  <c r="AD62" i="13"/>
  <c r="AC62" i="13"/>
  <c r="N62" i="13"/>
  <c r="O62" i="13" s="1"/>
  <c r="P62" i="13" s="1"/>
  <c r="F62" i="13"/>
  <c r="B62" i="13"/>
  <c r="A62" i="13"/>
  <c r="AR62" i="11"/>
  <c r="AQ62" i="11"/>
  <c r="AP62" i="11"/>
  <c r="AO62" i="11"/>
  <c r="AN62" i="11"/>
  <c r="AM62" i="11"/>
  <c r="AL62" i="11"/>
  <c r="AK62" i="11"/>
  <c r="AJ62" i="11"/>
  <c r="AI62" i="11"/>
  <c r="AH62" i="11"/>
  <c r="AF62" i="11"/>
  <c r="AD62" i="11"/>
  <c r="AC62" i="11"/>
  <c r="N62" i="11"/>
  <c r="O62" i="11" s="1"/>
  <c r="F62" i="11"/>
  <c r="B62" i="11"/>
  <c r="A62" i="11"/>
  <c r="AD89" i="9"/>
  <c r="AC89" i="9"/>
  <c r="AR89" i="9"/>
  <c r="AQ89" i="9"/>
  <c r="AP89" i="9"/>
  <c r="AO89" i="9"/>
  <c r="AN89" i="9"/>
  <c r="AM89" i="9"/>
  <c r="AL89" i="9"/>
  <c r="AK89" i="9"/>
  <c r="AJ89" i="9"/>
  <c r="AI89" i="9"/>
  <c r="AH89" i="9"/>
  <c r="AF89" i="9"/>
  <c r="N89" i="9"/>
  <c r="O89" i="9" s="1"/>
  <c r="F89" i="9"/>
  <c r="B89" i="9"/>
  <c r="A89" i="9"/>
  <c r="AR116" i="7"/>
  <c r="AQ116" i="7"/>
  <c r="AP116" i="7"/>
  <c r="AO116" i="7"/>
  <c r="AN116" i="7"/>
  <c r="AM116" i="7"/>
  <c r="AL116" i="7"/>
  <c r="AJ116" i="7"/>
  <c r="AK116" i="7" s="1"/>
  <c r="AI116" i="7"/>
  <c r="AH116" i="7"/>
  <c r="AF116" i="7"/>
  <c r="AD116" i="7"/>
  <c r="AC116" i="7"/>
  <c r="M116" i="7"/>
  <c r="N116" i="7" s="1"/>
  <c r="E116" i="7"/>
  <c r="B116" i="7"/>
  <c r="A116" i="7"/>
  <c r="AQ161" i="2"/>
  <c r="AP161" i="2"/>
  <c r="AO161" i="2"/>
  <c r="AN161" i="2"/>
  <c r="AM161" i="2"/>
  <c r="AL161" i="2"/>
  <c r="AK161" i="2"/>
  <c r="AH161" i="2"/>
  <c r="AI161" i="2" s="1"/>
  <c r="AG161" i="2"/>
  <c r="AF161" i="2"/>
  <c r="AD161" i="2"/>
  <c r="AC161" i="2"/>
  <c r="M161" i="2"/>
  <c r="N161" i="2" s="1"/>
  <c r="E161" i="2"/>
  <c r="B161" i="2"/>
  <c r="A161" i="2"/>
  <c r="Z24" i="14"/>
  <c r="Z23" i="14"/>
  <c r="Z22" i="14"/>
  <c r="Z21" i="14"/>
  <c r="Z19" i="14"/>
  <c r="Z18" i="14"/>
  <c r="Z17" i="14"/>
  <c r="Z12" i="14"/>
  <c r="Z10" i="14"/>
  <c r="Y13" i="14"/>
  <c r="AS28" i="14"/>
  <c r="AR28" i="14"/>
  <c r="AQ28" i="14"/>
  <c r="AP28" i="14"/>
  <c r="AO28" i="14"/>
  <c r="AN28" i="14"/>
  <c r="AM28" i="14"/>
  <c r="AL28" i="14"/>
  <c r="AJ28" i="14"/>
  <c r="N28" i="14"/>
  <c r="O28" i="14" s="1"/>
  <c r="P32" i="14" l="1"/>
  <c r="R43" i="14"/>
  <c r="Q37" i="14"/>
  <c r="Q35" i="14"/>
  <c r="P34" i="14"/>
  <c r="Q33" i="14"/>
  <c r="R41" i="14"/>
  <c r="R42" i="14"/>
  <c r="Q36" i="14"/>
  <c r="R39" i="14"/>
  <c r="R40" i="14"/>
  <c r="P33" i="14"/>
  <c r="Q34" i="14"/>
  <c r="R93" i="9"/>
  <c r="P93" i="9"/>
  <c r="P121" i="7"/>
  <c r="O121" i="7"/>
  <c r="Q121" i="7"/>
  <c r="P120" i="7"/>
  <c r="O120" i="7"/>
  <c r="Q120" i="7"/>
  <c r="P166" i="2"/>
  <c r="O166" i="2"/>
  <c r="Q166" i="2"/>
  <c r="O165" i="2"/>
  <c r="P165" i="2"/>
  <c r="Q165" i="2"/>
  <c r="R65" i="13"/>
  <c r="P65" i="13"/>
  <c r="R65" i="11"/>
  <c r="Q65" i="11"/>
  <c r="P65" i="11"/>
  <c r="P92" i="9"/>
  <c r="R92" i="9"/>
  <c r="Q92" i="9"/>
  <c r="Q119" i="7"/>
  <c r="P119" i="7"/>
  <c r="O119" i="7"/>
  <c r="Q164" i="2"/>
  <c r="O164" i="2"/>
  <c r="P31" i="14"/>
  <c r="R64" i="11"/>
  <c r="Q64" i="11"/>
  <c r="P64" i="11"/>
  <c r="P118" i="7"/>
  <c r="Q118" i="7"/>
  <c r="O118" i="7"/>
  <c r="P163" i="2"/>
  <c r="O163" i="2"/>
  <c r="Q163" i="2"/>
  <c r="Q64" i="13"/>
  <c r="P64" i="13"/>
  <c r="R64" i="13"/>
  <c r="R91" i="9"/>
  <c r="Q91" i="9"/>
  <c r="P91" i="9"/>
  <c r="P30" i="14"/>
  <c r="P63" i="13"/>
  <c r="R63" i="13"/>
  <c r="Q63" i="13"/>
  <c r="R63" i="11"/>
  <c r="Q63" i="11"/>
  <c r="P63" i="11"/>
  <c r="Q90" i="9"/>
  <c r="R90" i="9"/>
  <c r="P90" i="9"/>
  <c r="O117" i="7"/>
  <c r="P117" i="7"/>
  <c r="Q117" i="7"/>
  <c r="P162" i="2"/>
  <c r="O162" i="2"/>
  <c r="Q162" i="2"/>
  <c r="R62" i="13"/>
  <c r="Q62" i="13"/>
  <c r="Q62" i="11"/>
  <c r="P62" i="11"/>
  <c r="R62" i="11"/>
  <c r="R89" i="9"/>
  <c r="Q89" i="9"/>
  <c r="P89" i="9"/>
  <c r="Q116" i="7"/>
  <c r="P116" i="7"/>
  <c r="O116" i="7"/>
  <c r="O161" i="2"/>
  <c r="Q161" i="2"/>
  <c r="P161" i="2"/>
  <c r="AR61" i="13"/>
  <c r="AQ61" i="13"/>
  <c r="AP61" i="13"/>
  <c r="AO61" i="13"/>
  <c r="AN61" i="13"/>
  <c r="AM61" i="13"/>
  <c r="AL61" i="13"/>
  <c r="AK61" i="13"/>
  <c r="AI61" i="13"/>
  <c r="AH61" i="13"/>
  <c r="AF61" i="13"/>
  <c r="AD61" i="13"/>
  <c r="AC61" i="13"/>
  <c r="N61" i="13"/>
  <c r="O61" i="13" s="1"/>
  <c r="F61" i="13"/>
  <c r="B61" i="13"/>
  <c r="A61" i="13"/>
  <c r="AR61" i="11"/>
  <c r="AQ61" i="11"/>
  <c r="AP61" i="11"/>
  <c r="AO61" i="11"/>
  <c r="AN61" i="11"/>
  <c r="AM61" i="11"/>
  <c r="AL61" i="11"/>
  <c r="AK61" i="11"/>
  <c r="AJ61" i="11"/>
  <c r="AI61" i="11"/>
  <c r="AH61" i="11"/>
  <c r="AF61" i="11"/>
  <c r="AD61" i="11"/>
  <c r="AC61" i="11"/>
  <c r="N61" i="11"/>
  <c r="O61" i="11" s="1"/>
  <c r="F61" i="11"/>
  <c r="B61" i="11"/>
  <c r="A61" i="11"/>
  <c r="AR88" i="9"/>
  <c r="AQ88" i="9"/>
  <c r="AP88" i="9"/>
  <c r="AO88" i="9"/>
  <c r="AN88" i="9"/>
  <c r="AM88" i="9"/>
  <c r="AL88" i="9"/>
  <c r="AK88" i="9"/>
  <c r="AJ88" i="9"/>
  <c r="AI88" i="9"/>
  <c r="AH88" i="9"/>
  <c r="AF88" i="9"/>
  <c r="AD88" i="9"/>
  <c r="AC88" i="9"/>
  <c r="O88" i="9"/>
  <c r="P88" i="9" s="1"/>
  <c r="N88" i="9"/>
  <c r="F88" i="9"/>
  <c r="B88" i="9"/>
  <c r="A88" i="9"/>
  <c r="AR115" i="7"/>
  <c r="AQ115" i="7"/>
  <c r="AP115" i="7"/>
  <c r="AO115" i="7"/>
  <c r="AN115" i="7"/>
  <c r="AM115" i="7"/>
  <c r="AL115" i="7"/>
  <c r="AJ115" i="7"/>
  <c r="AK115" i="7" s="1"/>
  <c r="AI115" i="7"/>
  <c r="AH115" i="7"/>
  <c r="AF115" i="7"/>
  <c r="AD115" i="7"/>
  <c r="AC115" i="7"/>
  <c r="M115" i="7"/>
  <c r="N115" i="7" s="1"/>
  <c r="E115" i="7"/>
  <c r="B115" i="7"/>
  <c r="A115" i="7"/>
  <c r="AQ160" i="2"/>
  <c r="AP160" i="2"/>
  <c r="AO160" i="2"/>
  <c r="AN160" i="2"/>
  <c r="AM160" i="2"/>
  <c r="AL160" i="2"/>
  <c r="AK160" i="2"/>
  <c r="AH160" i="2"/>
  <c r="AI160" i="2" s="1"/>
  <c r="AG160" i="2"/>
  <c r="AF160" i="2"/>
  <c r="AD160" i="2"/>
  <c r="AC160" i="2"/>
  <c r="M160" i="2"/>
  <c r="N160" i="2" s="1"/>
  <c r="P160" i="2" s="1"/>
  <c r="E160" i="2"/>
  <c r="B160" i="2"/>
  <c r="A160" i="2"/>
  <c r="AK27" i="14"/>
  <c r="AL27" i="14" s="1"/>
  <c r="AS27" i="14"/>
  <c r="AR27" i="14"/>
  <c r="AQ27" i="14"/>
  <c r="AP27" i="14"/>
  <c r="AO27" i="14"/>
  <c r="AN27" i="14"/>
  <c r="AM27" i="14"/>
  <c r="AJ27" i="14"/>
  <c r="N27" i="14"/>
  <c r="O27" i="14" s="1"/>
  <c r="AK60" i="13"/>
  <c r="AR60" i="13"/>
  <c r="AQ60" i="13"/>
  <c r="AP60" i="13"/>
  <c r="AO60" i="13"/>
  <c r="AN60" i="13"/>
  <c r="AM60" i="13"/>
  <c r="AL60" i="13"/>
  <c r="AI60" i="13"/>
  <c r="AH60" i="13"/>
  <c r="AF60" i="13"/>
  <c r="AD60" i="13"/>
  <c r="AC60" i="13"/>
  <c r="N60" i="13"/>
  <c r="O60" i="13" s="1"/>
  <c r="F60" i="13"/>
  <c r="B60" i="13"/>
  <c r="A60" i="13"/>
  <c r="AR60" i="11"/>
  <c r="AQ60" i="11"/>
  <c r="AP60" i="11"/>
  <c r="AO60" i="11"/>
  <c r="AN60" i="11"/>
  <c r="AM60" i="11"/>
  <c r="AL60" i="11"/>
  <c r="AJ60" i="11"/>
  <c r="AK60" i="11" s="1"/>
  <c r="AI60" i="11"/>
  <c r="AH60" i="11"/>
  <c r="AF60" i="11"/>
  <c r="AD60" i="11"/>
  <c r="AC60" i="11"/>
  <c r="N60" i="11"/>
  <c r="O60" i="11" s="1"/>
  <c r="F60" i="11"/>
  <c r="B60" i="11"/>
  <c r="A60" i="11"/>
  <c r="AR87" i="9"/>
  <c r="AQ87" i="9"/>
  <c r="AP87" i="9"/>
  <c r="AO87" i="9"/>
  <c r="AN87" i="9"/>
  <c r="AM87" i="9"/>
  <c r="AL87" i="9"/>
  <c r="AJ87" i="9"/>
  <c r="AK87" i="9" s="1"/>
  <c r="AI87" i="9"/>
  <c r="AH87" i="9"/>
  <c r="AF87" i="9"/>
  <c r="AD87" i="9"/>
  <c r="AC87" i="9"/>
  <c r="N87" i="9"/>
  <c r="O87" i="9" s="1"/>
  <c r="F87" i="9"/>
  <c r="B87" i="9"/>
  <c r="A87" i="9"/>
  <c r="AR114" i="7"/>
  <c r="AQ114" i="7"/>
  <c r="AP114" i="7"/>
  <c r="AO114" i="7"/>
  <c r="AN114" i="7"/>
  <c r="AM114" i="7"/>
  <c r="AL114" i="7"/>
  <c r="AK114" i="7"/>
  <c r="AJ114" i="7"/>
  <c r="AI114" i="7"/>
  <c r="AH114" i="7"/>
  <c r="AF114" i="7"/>
  <c r="AD114" i="7"/>
  <c r="AC114" i="7"/>
  <c r="M114" i="7"/>
  <c r="N114" i="7" s="1"/>
  <c r="E114" i="7"/>
  <c r="B114" i="7"/>
  <c r="A114" i="7"/>
  <c r="AQ159" i="2"/>
  <c r="AP159" i="2"/>
  <c r="AO159" i="2"/>
  <c r="AN159" i="2"/>
  <c r="AM159" i="2"/>
  <c r="AL159" i="2"/>
  <c r="AK159" i="2"/>
  <c r="AI159" i="2"/>
  <c r="AH159" i="2"/>
  <c r="AG159" i="2"/>
  <c r="AF159" i="2"/>
  <c r="AD159" i="2"/>
  <c r="AC159" i="2"/>
  <c r="M159" i="2"/>
  <c r="N159" i="2" s="1"/>
  <c r="Q159" i="2" s="1"/>
  <c r="E159" i="2"/>
  <c r="B159" i="2"/>
  <c r="A159" i="2"/>
  <c r="C3" i="15"/>
  <c r="A3" i="15"/>
  <c r="B3" i="15"/>
  <c r="AK26" i="14"/>
  <c r="AL26" i="14" s="1"/>
  <c r="AS26" i="14"/>
  <c r="AR26" i="14"/>
  <c r="AQ26" i="14"/>
  <c r="AP26" i="14"/>
  <c r="AO26" i="14"/>
  <c r="AN26" i="14"/>
  <c r="AM26" i="14"/>
  <c r="AJ26" i="14"/>
  <c r="N26" i="14"/>
  <c r="O26" i="14" s="1"/>
  <c r="AJ59" i="13"/>
  <c r="AK59" i="13" s="1"/>
  <c r="AR59" i="13"/>
  <c r="AQ59" i="13"/>
  <c r="AP59" i="13"/>
  <c r="AO59" i="13"/>
  <c r="AN59" i="13"/>
  <c r="AM59" i="13"/>
  <c r="AL59" i="13"/>
  <c r="AI59" i="13"/>
  <c r="AH59" i="13"/>
  <c r="AF59" i="13"/>
  <c r="AD59" i="13"/>
  <c r="AC59" i="13"/>
  <c r="N59" i="13"/>
  <c r="O59" i="13" s="1"/>
  <c r="F59" i="13"/>
  <c r="B59" i="13"/>
  <c r="A59" i="13"/>
  <c r="AR59" i="11"/>
  <c r="AQ59" i="11"/>
  <c r="AP59" i="11"/>
  <c r="AO59" i="11"/>
  <c r="AN59" i="11"/>
  <c r="AM59" i="11"/>
  <c r="AL59" i="11"/>
  <c r="AJ59" i="11"/>
  <c r="AK59" i="11" s="1"/>
  <c r="AI59" i="11"/>
  <c r="AH59" i="11"/>
  <c r="AF59" i="11"/>
  <c r="AD59" i="11"/>
  <c r="AC59" i="11"/>
  <c r="N59" i="11"/>
  <c r="O59" i="11" s="1"/>
  <c r="F59" i="11"/>
  <c r="B59" i="11"/>
  <c r="A59" i="11"/>
  <c r="AR86" i="9"/>
  <c r="AQ86" i="9"/>
  <c r="AP86" i="9"/>
  <c r="AO86" i="9"/>
  <c r="AN86" i="9"/>
  <c r="AM86" i="9"/>
  <c r="AL86" i="9"/>
  <c r="AK86" i="9"/>
  <c r="AJ86" i="9"/>
  <c r="AI86" i="9"/>
  <c r="AH86" i="9"/>
  <c r="AF86" i="9"/>
  <c r="AD86" i="9"/>
  <c r="AC86" i="9"/>
  <c r="N86" i="9"/>
  <c r="O86" i="9" s="1"/>
  <c r="R86" i="9" s="1"/>
  <c r="F86" i="9"/>
  <c r="B86" i="9"/>
  <c r="A86" i="9"/>
  <c r="AR113" i="7"/>
  <c r="AQ113" i="7"/>
  <c r="AP113" i="7"/>
  <c r="AO113" i="7"/>
  <c r="AN113" i="7"/>
  <c r="AM113" i="7"/>
  <c r="AL113" i="7"/>
  <c r="AJ113" i="7"/>
  <c r="AK113" i="7" s="1"/>
  <c r="AI113" i="7"/>
  <c r="AH113" i="7"/>
  <c r="AF113" i="7"/>
  <c r="AD113" i="7"/>
  <c r="AC113" i="7"/>
  <c r="M113" i="7"/>
  <c r="N113" i="7" s="1"/>
  <c r="E113" i="7"/>
  <c r="B113" i="7"/>
  <c r="A113" i="7"/>
  <c r="AQ158" i="2"/>
  <c r="AP158" i="2"/>
  <c r="AO158" i="2"/>
  <c r="AN158" i="2"/>
  <c r="AM158" i="2"/>
  <c r="AL158" i="2"/>
  <c r="AK158" i="2"/>
  <c r="AH158" i="2"/>
  <c r="AI158" i="2" s="1"/>
  <c r="AG158" i="2"/>
  <c r="AF158" i="2"/>
  <c r="AD158" i="2"/>
  <c r="AC158" i="2"/>
  <c r="M158" i="2"/>
  <c r="N158" i="2" s="1"/>
  <c r="E158" i="2"/>
  <c r="B158" i="2"/>
  <c r="A158" i="2"/>
  <c r="AS25" i="14"/>
  <c r="AR25" i="14"/>
  <c r="AQ25" i="14"/>
  <c r="AP25" i="14"/>
  <c r="AO25" i="14"/>
  <c r="AN25" i="14"/>
  <c r="AM25" i="14"/>
  <c r="AL25" i="14"/>
  <c r="AJ25" i="14"/>
  <c r="N25" i="14"/>
  <c r="O25" i="14" s="1"/>
  <c r="B58" i="13"/>
  <c r="AR58" i="13"/>
  <c r="AQ58" i="13"/>
  <c r="AP58" i="13"/>
  <c r="AO58" i="13"/>
  <c r="AN58" i="13"/>
  <c r="AM58" i="13"/>
  <c r="AL58" i="13"/>
  <c r="AK58" i="13"/>
  <c r="AI58" i="13"/>
  <c r="AH58" i="13"/>
  <c r="AF58" i="13"/>
  <c r="AD58" i="13"/>
  <c r="AC58" i="13"/>
  <c r="N58" i="13"/>
  <c r="O58" i="13" s="1"/>
  <c r="F58" i="13"/>
  <c r="A58" i="13"/>
  <c r="B58" i="11"/>
  <c r="AR58" i="11"/>
  <c r="AQ58" i="11"/>
  <c r="AP58" i="11"/>
  <c r="AO58" i="11"/>
  <c r="AN58" i="11"/>
  <c r="AM58" i="11"/>
  <c r="AL58" i="11"/>
  <c r="AJ58" i="11"/>
  <c r="AK58" i="11" s="1"/>
  <c r="AI58" i="11"/>
  <c r="AH58" i="11"/>
  <c r="AF58" i="11"/>
  <c r="AD58" i="11"/>
  <c r="AC58" i="11"/>
  <c r="N58" i="11"/>
  <c r="O58" i="11" s="1"/>
  <c r="F58" i="11"/>
  <c r="A58" i="11"/>
  <c r="AR85" i="9"/>
  <c r="AQ85" i="9"/>
  <c r="AP85" i="9"/>
  <c r="AO85" i="9"/>
  <c r="AN85" i="9"/>
  <c r="AM85" i="9"/>
  <c r="AL85" i="9"/>
  <c r="AK85" i="9"/>
  <c r="AJ85" i="9"/>
  <c r="AI85" i="9"/>
  <c r="AH85" i="9"/>
  <c r="AF85" i="9"/>
  <c r="AD85" i="9"/>
  <c r="AC85" i="9"/>
  <c r="N85" i="9"/>
  <c r="O85" i="9" s="1"/>
  <c r="R85" i="9" s="1"/>
  <c r="F85" i="9"/>
  <c r="B85" i="9"/>
  <c r="A85" i="9"/>
  <c r="AR112" i="7"/>
  <c r="AQ112" i="7"/>
  <c r="AP112" i="7"/>
  <c r="AO112" i="7"/>
  <c r="AN112" i="7"/>
  <c r="AM112" i="7"/>
  <c r="AL112" i="7"/>
  <c r="AJ112" i="7"/>
  <c r="AK112" i="7" s="1"/>
  <c r="AI112" i="7"/>
  <c r="AH112" i="7"/>
  <c r="AF112" i="7"/>
  <c r="AD112" i="7"/>
  <c r="AC112" i="7"/>
  <c r="N112" i="7"/>
  <c r="Q112" i="7" s="1"/>
  <c r="M112" i="7"/>
  <c r="E112" i="7"/>
  <c r="B112" i="7"/>
  <c r="A112" i="7"/>
  <c r="AQ157" i="2"/>
  <c r="AP157" i="2"/>
  <c r="AO157" i="2"/>
  <c r="AN157" i="2"/>
  <c r="AM157" i="2"/>
  <c r="AL157" i="2"/>
  <c r="AK157" i="2"/>
  <c r="AH157" i="2"/>
  <c r="AI157" i="2" s="1"/>
  <c r="AG157" i="2"/>
  <c r="AF157" i="2"/>
  <c r="AD157" i="2"/>
  <c r="AC157" i="2"/>
  <c r="M157" i="2"/>
  <c r="N157" i="2" s="1"/>
  <c r="E157" i="2"/>
  <c r="B157" i="2"/>
  <c r="A157" i="2"/>
  <c r="AS24" i="14"/>
  <c r="AR24" i="14"/>
  <c r="AQ24" i="14"/>
  <c r="AP24" i="14"/>
  <c r="AO24" i="14"/>
  <c r="AN24" i="14"/>
  <c r="AM24" i="14"/>
  <c r="AL24" i="14"/>
  <c r="AJ24" i="14"/>
  <c r="N24" i="14"/>
  <c r="O24" i="14" s="1"/>
  <c r="AR57" i="13"/>
  <c r="AQ57" i="13"/>
  <c r="AP57" i="13"/>
  <c r="AO57" i="13"/>
  <c r="AN57" i="13"/>
  <c r="AM57" i="13"/>
  <c r="AL57" i="13"/>
  <c r="AK57" i="13"/>
  <c r="AI57" i="13"/>
  <c r="AH57" i="13"/>
  <c r="AF57" i="13"/>
  <c r="AD57" i="13"/>
  <c r="AC57" i="13"/>
  <c r="N57" i="13"/>
  <c r="O57" i="13" s="1"/>
  <c r="F57" i="13"/>
  <c r="B57" i="13"/>
  <c r="A57" i="13"/>
  <c r="R38" i="14" l="1"/>
  <c r="Q32" i="14"/>
  <c r="P28" i="14"/>
  <c r="P29" i="14"/>
  <c r="Q31" i="14"/>
  <c r="R36" i="14"/>
  <c r="R35" i="14"/>
  <c r="Q29" i="14"/>
  <c r="Q30" i="14"/>
  <c r="R37" i="14"/>
  <c r="Q61" i="13"/>
  <c r="P61" i="13"/>
  <c r="R61" i="13"/>
  <c r="R61" i="11"/>
  <c r="Q61" i="11"/>
  <c r="P61" i="11"/>
  <c r="R88" i="9"/>
  <c r="Q88" i="9"/>
  <c r="Q115" i="7"/>
  <c r="P115" i="7"/>
  <c r="O115" i="7"/>
  <c r="Q160" i="2"/>
  <c r="O160" i="2"/>
  <c r="P27" i="14"/>
  <c r="Q60" i="13"/>
  <c r="P60" i="13"/>
  <c r="R60" i="13"/>
  <c r="Q60" i="11"/>
  <c r="P60" i="11"/>
  <c r="R60" i="11"/>
  <c r="Q87" i="9"/>
  <c r="P87" i="9"/>
  <c r="R87" i="9"/>
  <c r="Q114" i="7"/>
  <c r="P114" i="7"/>
  <c r="O114" i="7"/>
  <c r="O159" i="2"/>
  <c r="P159" i="2"/>
  <c r="P26" i="14"/>
  <c r="Q59" i="13"/>
  <c r="R59" i="13"/>
  <c r="P59" i="13"/>
  <c r="Q59" i="11"/>
  <c r="P59" i="11"/>
  <c r="R59" i="11"/>
  <c r="P86" i="9"/>
  <c r="Q86" i="9"/>
  <c r="P113" i="7"/>
  <c r="Q113" i="7"/>
  <c r="O113" i="7"/>
  <c r="O158" i="2"/>
  <c r="P158" i="2"/>
  <c r="Q158" i="2"/>
  <c r="P58" i="13"/>
  <c r="Q58" i="13"/>
  <c r="R58" i="13"/>
  <c r="R58" i="11"/>
  <c r="P58" i="11"/>
  <c r="Q58" i="11"/>
  <c r="P85" i="9"/>
  <c r="Q85" i="9"/>
  <c r="O112" i="7"/>
  <c r="P112" i="7"/>
  <c r="Q157" i="2"/>
  <c r="O157" i="2"/>
  <c r="P157" i="2"/>
  <c r="Q57" i="13"/>
  <c r="P57" i="13"/>
  <c r="R57" i="13"/>
  <c r="AR57" i="11" l="1"/>
  <c r="AQ57" i="11"/>
  <c r="AP57" i="11"/>
  <c r="AO57" i="11"/>
  <c r="AN57" i="11"/>
  <c r="AM57" i="11"/>
  <c r="AL57" i="11"/>
  <c r="AK57" i="11"/>
  <c r="AJ57" i="11"/>
  <c r="AI57" i="11"/>
  <c r="AH57" i="11"/>
  <c r="AF57" i="11"/>
  <c r="AD57" i="11"/>
  <c r="AC57" i="11"/>
  <c r="N57" i="11"/>
  <c r="O57" i="11" s="1"/>
  <c r="F57" i="11"/>
  <c r="B57" i="11"/>
  <c r="A57" i="11"/>
  <c r="AR84" i="9"/>
  <c r="AQ84" i="9"/>
  <c r="AP84" i="9"/>
  <c r="AO84" i="9"/>
  <c r="AN84" i="9"/>
  <c r="AM84" i="9"/>
  <c r="AL84" i="9"/>
  <c r="AK84" i="9"/>
  <c r="AJ84" i="9"/>
  <c r="AI84" i="9"/>
  <c r="AH84" i="9"/>
  <c r="AF84" i="9"/>
  <c r="AD84" i="9"/>
  <c r="AC84" i="9"/>
  <c r="O84" i="9"/>
  <c r="Q84" i="9" s="1"/>
  <c r="N84" i="9"/>
  <c r="F84" i="9"/>
  <c r="B84" i="9"/>
  <c r="A84" i="9"/>
  <c r="AJ111" i="7"/>
  <c r="R57" i="11" l="1"/>
  <c r="Q57" i="11"/>
  <c r="P57" i="11"/>
  <c r="R84" i="9"/>
  <c r="P84" i="9"/>
  <c r="AR111" i="7" l="1"/>
  <c r="AQ111" i="7"/>
  <c r="AP111" i="7"/>
  <c r="AO111" i="7"/>
  <c r="AN111" i="7"/>
  <c r="AM111" i="7"/>
  <c r="AL111" i="7"/>
  <c r="AK111" i="7"/>
  <c r="AI111" i="7"/>
  <c r="AH111" i="7"/>
  <c r="AF111" i="7"/>
  <c r="AD111" i="7"/>
  <c r="AC111" i="7"/>
  <c r="M111" i="7"/>
  <c r="N111" i="7" s="1"/>
  <c r="E111" i="7"/>
  <c r="B111" i="7"/>
  <c r="A111" i="7"/>
  <c r="AH156" i="2"/>
  <c r="AI156" i="2"/>
  <c r="AQ156" i="2"/>
  <c r="AP156" i="2"/>
  <c r="AO156" i="2"/>
  <c r="AN156" i="2"/>
  <c r="AM156" i="2"/>
  <c r="AL156" i="2"/>
  <c r="AK156" i="2"/>
  <c r="AG156" i="2"/>
  <c r="AF156" i="2"/>
  <c r="AD156" i="2"/>
  <c r="AC156" i="2"/>
  <c r="M156" i="2"/>
  <c r="N156" i="2" s="1"/>
  <c r="O156" i="2" s="1"/>
  <c r="E156" i="2"/>
  <c r="B156" i="2"/>
  <c r="A156" i="2"/>
  <c r="AS23" i="14"/>
  <c r="AR23" i="14"/>
  <c r="AQ23" i="14"/>
  <c r="AP23" i="14"/>
  <c r="AO23" i="14"/>
  <c r="AN23" i="14"/>
  <c r="AM23" i="14"/>
  <c r="AL23" i="14"/>
  <c r="AJ23" i="14"/>
  <c r="N23" i="14"/>
  <c r="O23" i="14" s="1"/>
  <c r="R34" i="14" l="1"/>
  <c r="Q28" i="14"/>
  <c r="P25" i="14"/>
  <c r="P111" i="7"/>
  <c r="O111" i="7"/>
  <c r="Q111" i="7"/>
  <c r="Q156" i="2"/>
  <c r="P156" i="2"/>
  <c r="AR56" i="13" l="1"/>
  <c r="AQ56" i="13"/>
  <c r="AP56" i="13"/>
  <c r="AO56" i="13"/>
  <c r="AN56" i="13"/>
  <c r="AM56" i="13"/>
  <c r="AL56" i="13"/>
  <c r="AK56" i="13"/>
  <c r="AI56" i="13"/>
  <c r="AH56" i="13"/>
  <c r="AF56" i="13"/>
  <c r="AD56" i="13"/>
  <c r="AC56" i="13"/>
  <c r="N56" i="13"/>
  <c r="O56" i="13" s="1"/>
  <c r="Q56" i="13" s="1"/>
  <c r="F56" i="13"/>
  <c r="B56" i="13"/>
  <c r="A56" i="13"/>
  <c r="AR56" i="11"/>
  <c r="AQ56" i="11"/>
  <c r="AP56" i="11"/>
  <c r="AO56" i="11"/>
  <c r="AN56" i="11"/>
  <c r="AM56" i="11"/>
  <c r="AL56" i="11"/>
  <c r="AJ56" i="11"/>
  <c r="AK56" i="11" s="1"/>
  <c r="AI56" i="11"/>
  <c r="AH56" i="11"/>
  <c r="AF56" i="11"/>
  <c r="AD56" i="11"/>
  <c r="AC56" i="11"/>
  <c r="N56" i="11"/>
  <c r="O56" i="11" s="1"/>
  <c r="F56" i="11"/>
  <c r="B56" i="11"/>
  <c r="A56" i="11"/>
  <c r="AR83" i="9"/>
  <c r="AQ83" i="9"/>
  <c r="AP83" i="9"/>
  <c r="AO83" i="9"/>
  <c r="AN83" i="9"/>
  <c r="AM83" i="9"/>
  <c r="AL83" i="9"/>
  <c r="AK83" i="9"/>
  <c r="AJ83" i="9"/>
  <c r="AI83" i="9"/>
  <c r="AH83" i="9"/>
  <c r="AF83" i="9"/>
  <c r="AD83" i="9"/>
  <c r="AC83" i="9"/>
  <c r="N83" i="9"/>
  <c r="O83" i="9" s="1"/>
  <c r="F83" i="9"/>
  <c r="B83" i="9"/>
  <c r="A83" i="9"/>
  <c r="AR110" i="7"/>
  <c r="AQ110" i="7"/>
  <c r="AP110" i="7"/>
  <c r="AO110" i="7"/>
  <c r="AN110" i="7"/>
  <c r="AM110" i="7"/>
  <c r="AL110" i="7"/>
  <c r="AK110" i="7"/>
  <c r="AI110" i="7"/>
  <c r="AH110" i="7"/>
  <c r="AF110" i="7"/>
  <c r="AD110" i="7"/>
  <c r="AC110" i="7"/>
  <c r="M110" i="7"/>
  <c r="N110" i="7" s="1"/>
  <c r="Q110" i="7" s="1"/>
  <c r="E110" i="7"/>
  <c r="B110" i="7"/>
  <c r="A110" i="7"/>
  <c r="R56" i="13" l="1"/>
  <c r="P56" i="13"/>
  <c r="Q56" i="11"/>
  <c r="P56" i="11"/>
  <c r="R56" i="11"/>
  <c r="R83" i="9"/>
  <c r="Q83" i="9"/>
  <c r="P83" i="9"/>
  <c r="O110" i="7"/>
  <c r="P110" i="7"/>
  <c r="AQ155" i="2" l="1"/>
  <c r="AP155" i="2"/>
  <c r="AO155" i="2"/>
  <c r="AN155" i="2"/>
  <c r="AM155" i="2"/>
  <c r="AL155" i="2"/>
  <c r="AK155" i="2"/>
  <c r="AI155" i="2"/>
  <c r="AG155" i="2"/>
  <c r="AF155" i="2"/>
  <c r="AD155" i="2"/>
  <c r="AC155" i="2"/>
  <c r="M155" i="2"/>
  <c r="N155" i="2" s="1"/>
  <c r="E155" i="2"/>
  <c r="B155" i="2"/>
  <c r="A155" i="2"/>
  <c r="AS22" i="14"/>
  <c r="AR22" i="14"/>
  <c r="AQ22" i="14"/>
  <c r="AP22" i="14"/>
  <c r="AO22" i="14"/>
  <c r="AN22" i="14"/>
  <c r="AM22" i="14"/>
  <c r="AL22" i="14"/>
  <c r="AJ22" i="14"/>
  <c r="N22" i="14"/>
  <c r="O22" i="14" s="1"/>
  <c r="AR55" i="13"/>
  <c r="AQ55" i="13"/>
  <c r="AP55" i="13"/>
  <c r="AO55" i="13"/>
  <c r="AN55" i="13"/>
  <c r="AM55" i="13"/>
  <c r="AL55" i="13"/>
  <c r="AK55" i="13"/>
  <c r="AI55" i="13"/>
  <c r="AH55" i="13"/>
  <c r="AF55" i="13"/>
  <c r="AD55" i="13"/>
  <c r="AC55" i="13"/>
  <c r="N55" i="13"/>
  <c r="O55" i="13" s="1"/>
  <c r="R55" i="13" s="1"/>
  <c r="F55" i="13"/>
  <c r="B55" i="13"/>
  <c r="A55" i="13"/>
  <c r="AR55" i="11"/>
  <c r="AQ55" i="11"/>
  <c r="AP55" i="11"/>
  <c r="AO55" i="11"/>
  <c r="AN55" i="11"/>
  <c r="AM55" i="11"/>
  <c r="AL55" i="11"/>
  <c r="AJ55" i="11"/>
  <c r="AK55" i="11" s="1"/>
  <c r="AI55" i="11"/>
  <c r="AH55" i="11"/>
  <c r="AF55" i="11"/>
  <c r="AD55" i="11"/>
  <c r="AC55" i="11"/>
  <c r="N55" i="11"/>
  <c r="O55" i="11" s="1"/>
  <c r="F55" i="11"/>
  <c r="B55" i="11"/>
  <c r="A55" i="11"/>
  <c r="AR82" i="9"/>
  <c r="AQ82" i="9"/>
  <c r="AP82" i="9"/>
  <c r="AO82" i="9"/>
  <c r="AN82" i="9"/>
  <c r="AM82" i="9"/>
  <c r="AL82" i="9"/>
  <c r="AK82" i="9"/>
  <c r="AJ82" i="9"/>
  <c r="AI82" i="9"/>
  <c r="AH82" i="9"/>
  <c r="AF82" i="9"/>
  <c r="AD82" i="9"/>
  <c r="AC82" i="9"/>
  <c r="N82" i="9"/>
  <c r="O82" i="9" s="1"/>
  <c r="F82" i="9"/>
  <c r="B82" i="9"/>
  <c r="A82" i="9"/>
  <c r="AR109" i="7"/>
  <c r="AQ109" i="7"/>
  <c r="AP109" i="7"/>
  <c r="AO109" i="7"/>
  <c r="AN109" i="7"/>
  <c r="AM109" i="7"/>
  <c r="AL109" i="7"/>
  <c r="AK109" i="7"/>
  <c r="AI109" i="7"/>
  <c r="AH109" i="7"/>
  <c r="AF109" i="7"/>
  <c r="AD109" i="7"/>
  <c r="AC109" i="7"/>
  <c r="M109" i="7"/>
  <c r="N109" i="7" s="1"/>
  <c r="E109" i="7"/>
  <c r="B109" i="7"/>
  <c r="A109" i="7"/>
  <c r="AL154" i="2"/>
  <c r="AQ154" i="2"/>
  <c r="AP154" i="2"/>
  <c r="AO154" i="2"/>
  <c r="AN154" i="2"/>
  <c r="AM154" i="2"/>
  <c r="AK154" i="2"/>
  <c r="AI154" i="2"/>
  <c r="AG154" i="2"/>
  <c r="AF154" i="2"/>
  <c r="AD154" i="2"/>
  <c r="AC154" i="2"/>
  <c r="M154" i="2"/>
  <c r="N154" i="2" s="1"/>
  <c r="E154" i="2"/>
  <c r="B154" i="2"/>
  <c r="A154" i="2"/>
  <c r="AS21" i="14"/>
  <c r="AR21" i="14"/>
  <c r="AQ21" i="14"/>
  <c r="AP21" i="14"/>
  <c r="AO21" i="14"/>
  <c r="AN21" i="14"/>
  <c r="AM21" i="14"/>
  <c r="AL21" i="14"/>
  <c r="AJ21" i="14"/>
  <c r="N21" i="14"/>
  <c r="O21" i="14" s="1"/>
  <c r="AR54" i="13"/>
  <c r="AQ54" i="13"/>
  <c r="AP54" i="13"/>
  <c r="AO54" i="13"/>
  <c r="AN54" i="13"/>
  <c r="AM54" i="13"/>
  <c r="AL54" i="13"/>
  <c r="AK54" i="13"/>
  <c r="AI54" i="13"/>
  <c r="AH54" i="13"/>
  <c r="AF54" i="13"/>
  <c r="AD54" i="13"/>
  <c r="AC54" i="13"/>
  <c r="N54" i="13"/>
  <c r="O54" i="13" s="1"/>
  <c r="F54" i="13"/>
  <c r="B54" i="13"/>
  <c r="A54" i="13"/>
  <c r="AR54" i="11"/>
  <c r="AQ54" i="11"/>
  <c r="AP54" i="11"/>
  <c r="AO54" i="11"/>
  <c r="AN54" i="11"/>
  <c r="AM54" i="11"/>
  <c r="AL54" i="11"/>
  <c r="AJ54" i="11"/>
  <c r="AK54" i="11" s="1"/>
  <c r="AI54" i="11"/>
  <c r="AH54" i="11"/>
  <c r="AF54" i="11"/>
  <c r="AD54" i="11"/>
  <c r="AC54" i="11"/>
  <c r="N54" i="11"/>
  <c r="O54" i="11" s="1"/>
  <c r="F54" i="11"/>
  <c r="B54" i="11"/>
  <c r="A54" i="11"/>
  <c r="AR81" i="9"/>
  <c r="AQ81" i="9"/>
  <c r="AP81" i="9"/>
  <c r="AO81" i="9"/>
  <c r="AN81" i="9"/>
  <c r="AM81" i="9"/>
  <c r="AL81" i="9"/>
  <c r="AJ81" i="9"/>
  <c r="AK81" i="9" s="1"/>
  <c r="AI81" i="9"/>
  <c r="AH81" i="9"/>
  <c r="AF81" i="9"/>
  <c r="AD81" i="9"/>
  <c r="AC81" i="9"/>
  <c r="N81" i="9"/>
  <c r="O81" i="9" s="1"/>
  <c r="F81" i="9"/>
  <c r="B81" i="9"/>
  <c r="A81" i="9"/>
  <c r="AR108" i="7"/>
  <c r="AQ108" i="7"/>
  <c r="AP108" i="7"/>
  <c r="AO108" i="7"/>
  <c r="AN108" i="7"/>
  <c r="AM108" i="7"/>
  <c r="AL108" i="7"/>
  <c r="AJ108" i="7"/>
  <c r="AK108" i="7" s="1"/>
  <c r="AI108" i="7"/>
  <c r="AH108" i="7"/>
  <c r="AF108" i="7"/>
  <c r="AD108" i="7"/>
  <c r="AC108" i="7"/>
  <c r="M108" i="7"/>
  <c r="N108" i="7" s="1"/>
  <c r="E108" i="7"/>
  <c r="B108" i="7"/>
  <c r="A108" i="7"/>
  <c r="AQ153" i="2"/>
  <c r="AP153" i="2"/>
  <c r="AO153" i="2"/>
  <c r="AN153" i="2"/>
  <c r="AM153" i="2"/>
  <c r="AL153" i="2"/>
  <c r="AK153" i="2"/>
  <c r="AI153" i="2"/>
  <c r="AG153" i="2"/>
  <c r="AF153" i="2"/>
  <c r="AD153" i="2"/>
  <c r="AC153" i="2"/>
  <c r="M153" i="2"/>
  <c r="N153" i="2" s="1"/>
  <c r="E153" i="2"/>
  <c r="B153" i="2"/>
  <c r="A153" i="2"/>
  <c r="AS20" i="14"/>
  <c r="AR20" i="14"/>
  <c r="AQ20" i="14"/>
  <c r="AP20" i="14"/>
  <c r="AO20" i="14"/>
  <c r="AN20" i="14"/>
  <c r="AM20" i="14"/>
  <c r="AL20" i="14"/>
  <c r="AJ20" i="14"/>
  <c r="N20" i="14"/>
  <c r="O20" i="14" s="1"/>
  <c r="AR53" i="13"/>
  <c r="AQ53" i="13"/>
  <c r="AP53" i="13"/>
  <c r="AO53" i="13"/>
  <c r="AN53" i="13"/>
  <c r="AM53" i="13"/>
  <c r="AL53" i="13"/>
  <c r="AK53" i="13"/>
  <c r="AI53" i="13"/>
  <c r="AH53" i="13"/>
  <c r="AF53" i="13"/>
  <c r="AD53" i="13"/>
  <c r="AC53" i="13"/>
  <c r="N53" i="13"/>
  <c r="O53" i="13" s="1"/>
  <c r="F53" i="13"/>
  <c r="B53" i="13"/>
  <c r="A53" i="13"/>
  <c r="AR53" i="11"/>
  <c r="AQ53" i="11"/>
  <c r="AP53" i="11"/>
  <c r="AO53" i="11"/>
  <c r="AN53" i="11"/>
  <c r="AM53" i="11"/>
  <c r="AL53" i="11"/>
  <c r="AK53" i="11"/>
  <c r="AJ53" i="11"/>
  <c r="AI53" i="11"/>
  <c r="AH53" i="11"/>
  <c r="AF53" i="11"/>
  <c r="AD53" i="11"/>
  <c r="AC53" i="11"/>
  <c r="N53" i="11"/>
  <c r="O53" i="11" s="1"/>
  <c r="F53" i="11"/>
  <c r="B53" i="11"/>
  <c r="A53" i="11"/>
  <c r="AR80" i="9"/>
  <c r="AQ80" i="9"/>
  <c r="AP80" i="9"/>
  <c r="AO80" i="9"/>
  <c r="AN80" i="9"/>
  <c r="AM80" i="9"/>
  <c r="AL80" i="9"/>
  <c r="AK80" i="9"/>
  <c r="AJ80" i="9"/>
  <c r="AI80" i="9"/>
  <c r="AH80" i="9"/>
  <c r="AF80" i="9"/>
  <c r="AD80" i="9"/>
  <c r="AC80" i="9"/>
  <c r="N80" i="9"/>
  <c r="O80" i="9" s="1"/>
  <c r="F80" i="9"/>
  <c r="B80" i="9"/>
  <c r="A80" i="9"/>
  <c r="AR107" i="7"/>
  <c r="AQ107" i="7"/>
  <c r="AP107" i="7"/>
  <c r="AO107" i="7"/>
  <c r="AN107" i="7"/>
  <c r="AM107" i="7"/>
  <c r="AL107" i="7"/>
  <c r="AJ107" i="7"/>
  <c r="AK107" i="7" s="1"/>
  <c r="AI107" i="7"/>
  <c r="AH107" i="7"/>
  <c r="AF107" i="7"/>
  <c r="AD107" i="7"/>
  <c r="AC107" i="7"/>
  <c r="M107" i="7"/>
  <c r="N107" i="7" s="1"/>
  <c r="E107" i="7"/>
  <c r="B107" i="7"/>
  <c r="A107" i="7"/>
  <c r="AQ152" i="2"/>
  <c r="AP152" i="2"/>
  <c r="AO152" i="2"/>
  <c r="AN152" i="2"/>
  <c r="AM152" i="2"/>
  <c r="AL152" i="2"/>
  <c r="AK152" i="2"/>
  <c r="AI152" i="2"/>
  <c r="AG152" i="2"/>
  <c r="AF152" i="2"/>
  <c r="AD152" i="2"/>
  <c r="AC152" i="2"/>
  <c r="M152" i="2"/>
  <c r="N152" i="2" s="1"/>
  <c r="E152" i="2"/>
  <c r="B152" i="2"/>
  <c r="A152" i="2"/>
  <c r="AS19" i="14"/>
  <c r="AR19" i="14"/>
  <c r="AQ19" i="14"/>
  <c r="AP19" i="14"/>
  <c r="AO19" i="14"/>
  <c r="AN19" i="14"/>
  <c r="AM19" i="14"/>
  <c r="AL19" i="14"/>
  <c r="AJ19" i="14"/>
  <c r="N19" i="14"/>
  <c r="O19" i="14" s="1"/>
  <c r="B52" i="13"/>
  <c r="AR52" i="13"/>
  <c r="AQ52" i="13"/>
  <c r="AP52" i="13"/>
  <c r="AO52" i="13"/>
  <c r="AN52" i="13"/>
  <c r="AM52" i="13"/>
  <c r="AL52" i="13"/>
  <c r="AK52" i="13"/>
  <c r="AI52" i="13"/>
  <c r="AH52" i="13"/>
  <c r="AF52" i="13"/>
  <c r="AD52" i="13"/>
  <c r="AC52" i="13"/>
  <c r="O52" i="13"/>
  <c r="N52" i="13"/>
  <c r="F52" i="13"/>
  <c r="A52" i="13"/>
  <c r="AJ51" i="11"/>
  <c r="AJ52" i="11"/>
  <c r="AK52" i="11" s="1"/>
  <c r="B52" i="11"/>
  <c r="AR52" i="11"/>
  <c r="AQ52" i="11"/>
  <c r="AP52" i="11"/>
  <c r="AO52" i="11"/>
  <c r="AN52" i="11"/>
  <c r="AM52" i="11"/>
  <c r="AL52" i="11"/>
  <c r="AI52" i="11"/>
  <c r="AH52" i="11"/>
  <c r="AF52" i="11"/>
  <c r="AD52" i="11"/>
  <c r="AC52" i="11"/>
  <c r="N52" i="11"/>
  <c r="O52" i="11" s="1"/>
  <c r="F52" i="11"/>
  <c r="A52" i="11"/>
  <c r="AR79" i="9"/>
  <c r="AQ79" i="9"/>
  <c r="AP79" i="9"/>
  <c r="AO79" i="9"/>
  <c r="AN79" i="9"/>
  <c r="AM79" i="9"/>
  <c r="AL79" i="9"/>
  <c r="AJ79" i="9"/>
  <c r="AK79" i="9" s="1"/>
  <c r="AI79" i="9"/>
  <c r="AH79" i="9"/>
  <c r="AF79" i="9"/>
  <c r="AD79" i="9"/>
  <c r="AC79" i="9"/>
  <c r="N79" i="9"/>
  <c r="O79" i="9" s="1"/>
  <c r="F79" i="9"/>
  <c r="B79" i="9"/>
  <c r="A79" i="9"/>
  <c r="E106" i="7"/>
  <c r="AR106" i="7"/>
  <c r="AQ106" i="7"/>
  <c r="AP106" i="7"/>
  <c r="AO106" i="7"/>
  <c r="AN106" i="7"/>
  <c r="AM106" i="7"/>
  <c r="AL106" i="7"/>
  <c r="AK106" i="7"/>
  <c r="AJ106" i="7"/>
  <c r="AI106" i="7"/>
  <c r="AH106" i="7"/>
  <c r="AF106" i="7"/>
  <c r="AD106" i="7"/>
  <c r="AC106" i="7"/>
  <c r="M106" i="7"/>
  <c r="N106" i="7" s="1"/>
  <c r="B106" i="7"/>
  <c r="A106" i="7"/>
  <c r="AQ151" i="2"/>
  <c r="AP151" i="2"/>
  <c r="AO151" i="2"/>
  <c r="AN151" i="2"/>
  <c r="AM151" i="2"/>
  <c r="AL151" i="2"/>
  <c r="AK151" i="2"/>
  <c r="AI151" i="2"/>
  <c r="AG151" i="2"/>
  <c r="AF151" i="2"/>
  <c r="AD151" i="2"/>
  <c r="AC151" i="2"/>
  <c r="M151" i="2"/>
  <c r="N151" i="2" s="1"/>
  <c r="E151" i="2"/>
  <c r="B151" i="2"/>
  <c r="A151" i="2"/>
  <c r="P21" i="14" l="1"/>
  <c r="R32" i="14"/>
  <c r="Q26" i="14"/>
  <c r="P23" i="14"/>
  <c r="R30" i="14"/>
  <c r="Q24" i="14"/>
  <c r="R31" i="14"/>
  <c r="Q25" i="14"/>
  <c r="R33" i="14"/>
  <c r="Q27" i="14"/>
  <c r="P24" i="14"/>
  <c r="O155" i="2"/>
  <c r="P155" i="2"/>
  <c r="Q155" i="2"/>
  <c r="P22" i="14"/>
  <c r="P55" i="13"/>
  <c r="Q55" i="13"/>
  <c r="R55" i="11"/>
  <c r="Q55" i="11"/>
  <c r="P55" i="11"/>
  <c r="R82" i="9"/>
  <c r="Q82" i="9"/>
  <c r="P82" i="9"/>
  <c r="P109" i="7"/>
  <c r="O109" i="7"/>
  <c r="Q109" i="7"/>
  <c r="O154" i="2"/>
  <c r="P154" i="2"/>
  <c r="Q154" i="2"/>
  <c r="R54" i="13"/>
  <c r="Q54" i="13"/>
  <c r="P54" i="13"/>
  <c r="R54" i="11"/>
  <c r="P54" i="11"/>
  <c r="Q54" i="11"/>
  <c r="Q81" i="9"/>
  <c r="P81" i="9"/>
  <c r="R81" i="9"/>
  <c r="Q108" i="7"/>
  <c r="P108" i="7"/>
  <c r="O108" i="7"/>
  <c r="O153" i="2"/>
  <c r="P153" i="2"/>
  <c r="Q153" i="2"/>
  <c r="P53" i="13"/>
  <c r="R53" i="13"/>
  <c r="Q53" i="13"/>
  <c r="Q53" i="11"/>
  <c r="P53" i="11"/>
  <c r="Q80" i="9"/>
  <c r="P80" i="9"/>
  <c r="P107" i="7"/>
  <c r="O107" i="7"/>
  <c r="O152" i="2"/>
  <c r="P152" i="2"/>
  <c r="P52" i="13"/>
  <c r="Q52" i="13"/>
  <c r="Q52" i="11"/>
  <c r="P52" i="11"/>
  <c r="P79" i="9"/>
  <c r="Q79" i="9"/>
  <c r="P106" i="7"/>
  <c r="O106" i="7"/>
  <c r="O151" i="2"/>
  <c r="P151" i="2"/>
  <c r="AS18" i="14"/>
  <c r="AR18" i="14"/>
  <c r="AQ18" i="14"/>
  <c r="AP18" i="14"/>
  <c r="AO18" i="14"/>
  <c r="AN18" i="14"/>
  <c r="AM18" i="14"/>
  <c r="AL18" i="14"/>
  <c r="AJ18" i="14"/>
  <c r="N18" i="14"/>
  <c r="O18" i="14" s="1"/>
  <c r="AR51" i="13"/>
  <c r="AQ51" i="13"/>
  <c r="AP51" i="13"/>
  <c r="AO51" i="13"/>
  <c r="AN51" i="13"/>
  <c r="AM51" i="13"/>
  <c r="AL51" i="13"/>
  <c r="AK51" i="13"/>
  <c r="AI51" i="13"/>
  <c r="AH51" i="13"/>
  <c r="AF51" i="13"/>
  <c r="AD51" i="13"/>
  <c r="AC51" i="13"/>
  <c r="N51" i="13"/>
  <c r="O51" i="13" s="1"/>
  <c r="F51" i="13"/>
  <c r="B51" i="13"/>
  <c r="A51" i="13"/>
  <c r="AR51" i="11"/>
  <c r="AQ51" i="11"/>
  <c r="AP51" i="11"/>
  <c r="AO51" i="11"/>
  <c r="AN51" i="11"/>
  <c r="AM51" i="11"/>
  <c r="AL51" i="11"/>
  <c r="AK51" i="11"/>
  <c r="AI51" i="11"/>
  <c r="AH51" i="11"/>
  <c r="AF51" i="11"/>
  <c r="AD51" i="11"/>
  <c r="AC51" i="11"/>
  <c r="N51" i="11"/>
  <c r="O51" i="11" s="1"/>
  <c r="F51" i="11"/>
  <c r="B51" i="11"/>
  <c r="A51" i="11"/>
  <c r="AJ78" i="9"/>
  <c r="AR78" i="9"/>
  <c r="AQ78" i="9"/>
  <c r="AP78" i="9"/>
  <c r="AO78" i="9"/>
  <c r="AN78" i="9"/>
  <c r="AM78" i="9"/>
  <c r="AL78" i="9"/>
  <c r="AK78" i="9"/>
  <c r="AI78" i="9"/>
  <c r="AH78" i="9"/>
  <c r="AF78" i="9"/>
  <c r="AD78" i="9"/>
  <c r="AC78" i="9"/>
  <c r="N78" i="9"/>
  <c r="O78" i="9" s="1"/>
  <c r="F78" i="9"/>
  <c r="B78" i="9"/>
  <c r="A78" i="9"/>
  <c r="AJ105" i="7"/>
  <c r="AR105" i="7"/>
  <c r="AQ105" i="7"/>
  <c r="AP105" i="7"/>
  <c r="AO105" i="7"/>
  <c r="AN105" i="7"/>
  <c r="AM105" i="7"/>
  <c r="AL105" i="7"/>
  <c r="AK105" i="7"/>
  <c r="AI105" i="7"/>
  <c r="AH105" i="7"/>
  <c r="AF105" i="7"/>
  <c r="AD105" i="7"/>
  <c r="AC105" i="7"/>
  <c r="M105" i="7"/>
  <c r="N105" i="7" s="1"/>
  <c r="E105" i="7"/>
  <c r="B105" i="7"/>
  <c r="A105" i="7"/>
  <c r="AQ150" i="2"/>
  <c r="AP150" i="2"/>
  <c r="AO150" i="2"/>
  <c r="AN150" i="2"/>
  <c r="AM150" i="2"/>
  <c r="AL150" i="2"/>
  <c r="AK150" i="2"/>
  <c r="AI150" i="2"/>
  <c r="AG150" i="2"/>
  <c r="AF150" i="2"/>
  <c r="AD150" i="2"/>
  <c r="AC150" i="2"/>
  <c r="M150" i="2"/>
  <c r="N150" i="2" s="1"/>
  <c r="E150" i="2"/>
  <c r="B150" i="2"/>
  <c r="A150" i="2"/>
  <c r="AS17" i="14"/>
  <c r="AR17" i="14"/>
  <c r="AQ17" i="14"/>
  <c r="AP17" i="14"/>
  <c r="AO17" i="14"/>
  <c r="AN17" i="14"/>
  <c r="AM17" i="14"/>
  <c r="AL17" i="14"/>
  <c r="AJ17" i="14"/>
  <c r="N17" i="14"/>
  <c r="O17" i="14" s="1"/>
  <c r="AR50" i="13"/>
  <c r="AQ50" i="13"/>
  <c r="AP50" i="13"/>
  <c r="AO50" i="13"/>
  <c r="AN50" i="13"/>
  <c r="AM50" i="13"/>
  <c r="AL50" i="13"/>
  <c r="AK50" i="13"/>
  <c r="AI50" i="13"/>
  <c r="AH50" i="13"/>
  <c r="AF50" i="13"/>
  <c r="AD50" i="13"/>
  <c r="AC50" i="13"/>
  <c r="N50" i="13"/>
  <c r="O50" i="13" s="1"/>
  <c r="F50" i="13"/>
  <c r="B50" i="13"/>
  <c r="A50" i="13"/>
  <c r="AR50" i="11"/>
  <c r="AQ50" i="11"/>
  <c r="AP50" i="11"/>
  <c r="AO50" i="11"/>
  <c r="AN50" i="11"/>
  <c r="AM50" i="11"/>
  <c r="AL50" i="11"/>
  <c r="AK50" i="11"/>
  <c r="AI50" i="11"/>
  <c r="AH50" i="11"/>
  <c r="AF50" i="11"/>
  <c r="AD50" i="11"/>
  <c r="AC50" i="11"/>
  <c r="N50" i="11"/>
  <c r="O50" i="11" s="1"/>
  <c r="F50" i="11"/>
  <c r="B50" i="11"/>
  <c r="A50" i="11"/>
  <c r="R28" i="14" l="1"/>
  <c r="P19" i="14"/>
  <c r="Q22" i="14"/>
  <c r="R29" i="14"/>
  <c r="Q23" i="14"/>
  <c r="P20" i="14"/>
  <c r="P51" i="13"/>
  <c r="Q51" i="13"/>
  <c r="Q51" i="11"/>
  <c r="P51" i="11"/>
  <c r="Q78" i="9"/>
  <c r="P78" i="9"/>
  <c r="O105" i="7"/>
  <c r="P105" i="7"/>
  <c r="P150" i="2"/>
  <c r="O150" i="2"/>
  <c r="P50" i="13"/>
  <c r="P50" i="11"/>
  <c r="AR77" i="9" l="1"/>
  <c r="AQ77" i="9"/>
  <c r="AP77" i="9"/>
  <c r="AO77" i="9"/>
  <c r="AN77" i="9"/>
  <c r="AM77" i="9"/>
  <c r="AL77" i="9"/>
  <c r="AK77" i="9"/>
  <c r="AI77" i="9"/>
  <c r="AH77" i="9"/>
  <c r="AF77" i="9"/>
  <c r="AD77" i="9"/>
  <c r="AC77" i="9"/>
  <c r="N77" i="9"/>
  <c r="O77" i="9" s="1"/>
  <c r="F77" i="9"/>
  <c r="B77" i="9"/>
  <c r="A77" i="9"/>
  <c r="AR104" i="7"/>
  <c r="AQ104" i="7"/>
  <c r="AP104" i="7"/>
  <c r="AO104" i="7"/>
  <c r="AN104" i="7"/>
  <c r="AM104" i="7"/>
  <c r="AL104" i="7"/>
  <c r="AJ104" i="7"/>
  <c r="AK104" i="7" s="1"/>
  <c r="AI104" i="7"/>
  <c r="AH104" i="7"/>
  <c r="AF104" i="7"/>
  <c r="AD104" i="7"/>
  <c r="AC104" i="7"/>
  <c r="M104" i="7"/>
  <c r="N104" i="7" s="1"/>
  <c r="E104" i="7"/>
  <c r="B104" i="7"/>
  <c r="A104" i="7"/>
  <c r="AQ149" i="2"/>
  <c r="AP149" i="2"/>
  <c r="AO149" i="2"/>
  <c r="AN149" i="2"/>
  <c r="AM149" i="2"/>
  <c r="AL149" i="2"/>
  <c r="AK149" i="2"/>
  <c r="AI149" i="2"/>
  <c r="AG149" i="2"/>
  <c r="AF149" i="2"/>
  <c r="AD149" i="2"/>
  <c r="AC149" i="2"/>
  <c r="M149" i="2"/>
  <c r="N149" i="2" s="1"/>
  <c r="E149" i="2"/>
  <c r="B149" i="2"/>
  <c r="A149" i="2"/>
  <c r="AS16" i="14"/>
  <c r="AR16" i="14"/>
  <c r="AQ16" i="14"/>
  <c r="AP16" i="14"/>
  <c r="AO16" i="14"/>
  <c r="AN16" i="14"/>
  <c r="AM16" i="14"/>
  <c r="AL16" i="14"/>
  <c r="AJ16" i="14"/>
  <c r="N16" i="14"/>
  <c r="O16" i="14" s="1"/>
  <c r="AR49" i="13"/>
  <c r="AQ49" i="13"/>
  <c r="AP49" i="13"/>
  <c r="AO49" i="13"/>
  <c r="AN49" i="13"/>
  <c r="AM49" i="13"/>
  <c r="AL49" i="13"/>
  <c r="AK49" i="13"/>
  <c r="AI49" i="13"/>
  <c r="AH49" i="13"/>
  <c r="AF49" i="13"/>
  <c r="AD49" i="13"/>
  <c r="AC49" i="13"/>
  <c r="N49" i="13"/>
  <c r="O49" i="13" s="1"/>
  <c r="F49" i="13"/>
  <c r="B49" i="13"/>
  <c r="A49" i="13"/>
  <c r="AR49" i="11"/>
  <c r="AQ49" i="11"/>
  <c r="AP49" i="11"/>
  <c r="AO49" i="11"/>
  <c r="AN49" i="11"/>
  <c r="AM49" i="11"/>
  <c r="AL49" i="11"/>
  <c r="AK49" i="11"/>
  <c r="AI49" i="11"/>
  <c r="AH49" i="11"/>
  <c r="AF49" i="11"/>
  <c r="AD49" i="11"/>
  <c r="AC49" i="11"/>
  <c r="N49" i="11"/>
  <c r="O49" i="11" s="1"/>
  <c r="F49" i="11"/>
  <c r="B49" i="11"/>
  <c r="A49" i="11"/>
  <c r="AQ76" i="9"/>
  <c r="AP76" i="9"/>
  <c r="AO76" i="9"/>
  <c r="AN76" i="9"/>
  <c r="AM76" i="9"/>
  <c r="AL76" i="9"/>
  <c r="AK76" i="9"/>
  <c r="AI76" i="9"/>
  <c r="AH76" i="9"/>
  <c r="AF76" i="9"/>
  <c r="AD76" i="9"/>
  <c r="AC76" i="9"/>
  <c r="AR76" i="9"/>
  <c r="N76" i="9"/>
  <c r="O76" i="9" s="1"/>
  <c r="F76" i="9"/>
  <c r="B76" i="9"/>
  <c r="A76" i="9"/>
  <c r="AR103" i="7"/>
  <c r="AQ103" i="7"/>
  <c r="AP103" i="7"/>
  <c r="AO103" i="7"/>
  <c r="AN103" i="7"/>
  <c r="AM103" i="7"/>
  <c r="AL103" i="7"/>
  <c r="AJ103" i="7"/>
  <c r="AK103" i="7" s="1"/>
  <c r="AI103" i="7"/>
  <c r="AH103" i="7"/>
  <c r="AF103" i="7"/>
  <c r="AD103" i="7"/>
  <c r="AC103" i="7"/>
  <c r="M103" i="7"/>
  <c r="N103" i="7" s="1"/>
  <c r="E103" i="7"/>
  <c r="B103" i="7"/>
  <c r="A103" i="7"/>
  <c r="R27" i="14" l="1"/>
  <c r="P18" i="14"/>
  <c r="Q21" i="14"/>
  <c r="P77" i="9"/>
  <c r="O104" i="7"/>
  <c r="O149" i="2"/>
  <c r="P49" i="13"/>
  <c r="P49" i="11"/>
  <c r="P76" i="9"/>
  <c r="O103" i="7"/>
  <c r="AQ148" i="2" l="1"/>
  <c r="AP148" i="2"/>
  <c r="AO148" i="2"/>
  <c r="AN148" i="2"/>
  <c r="AM148" i="2"/>
  <c r="AL148" i="2"/>
  <c r="AK148" i="2"/>
  <c r="AI148" i="2"/>
  <c r="AG148" i="2"/>
  <c r="AF148" i="2"/>
  <c r="AD148" i="2"/>
  <c r="AC148" i="2"/>
  <c r="M148" i="2"/>
  <c r="N148" i="2" s="1"/>
  <c r="E148" i="2"/>
  <c r="B148" i="2"/>
  <c r="A148" i="2"/>
  <c r="T15" i="14"/>
  <c r="O148" i="2" l="1"/>
  <c r="AK15" i="14"/>
  <c r="AS15" i="14"/>
  <c r="AR15" i="14"/>
  <c r="AQ15" i="14"/>
  <c r="AO15" i="14"/>
  <c r="AN15" i="14"/>
  <c r="AM15" i="14"/>
  <c r="E15" i="14"/>
  <c r="AL15" i="14"/>
  <c r="AR48" i="13"/>
  <c r="AO48" i="13"/>
  <c r="AL48" i="13"/>
  <c r="AI48" i="13"/>
  <c r="AH48" i="13"/>
  <c r="AF48" i="13"/>
  <c r="AD48" i="13"/>
  <c r="AC48" i="13"/>
  <c r="AQ48" i="13"/>
  <c r="AP48" i="13"/>
  <c r="AN48" i="13"/>
  <c r="AM48" i="13"/>
  <c r="N48" i="13"/>
  <c r="O48" i="13" s="1"/>
  <c r="F48" i="13"/>
  <c r="AK48" i="13"/>
  <c r="B48" i="13"/>
  <c r="A48" i="13"/>
  <c r="AO48" i="11"/>
  <c r="AM48" i="11"/>
  <c r="AI48" i="11"/>
  <c r="AH48" i="11"/>
  <c r="AF48" i="11"/>
  <c r="AD48" i="11"/>
  <c r="AC48" i="11"/>
  <c r="AR48" i="11"/>
  <c r="AQ48" i="11"/>
  <c r="AP48" i="11"/>
  <c r="AN48" i="11"/>
  <c r="AL48" i="11"/>
  <c r="N48" i="11"/>
  <c r="O48" i="11" s="1"/>
  <c r="F48" i="11"/>
  <c r="AK48" i="11"/>
  <c r="B48" i="11"/>
  <c r="A48" i="11"/>
  <c r="AO75" i="9"/>
  <c r="AK75" i="9"/>
  <c r="AI75" i="9"/>
  <c r="AH75" i="9"/>
  <c r="AF75" i="9"/>
  <c r="AD75" i="9"/>
  <c r="AC75" i="9"/>
  <c r="Y75" i="9"/>
  <c r="AR75" i="9" s="1"/>
  <c r="AQ75" i="9"/>
  <c r="AP75" i="9"/>
  <c r="AN75" i="9"/>
  <c r="AM75" i="9"/>
  <c r="AL75" i="9"/>
  <c r="N75" i="9"/>
  <c r="O75" i="9" s="1"/>
  <c r="F75" i="9"/>
  <c r="B75" i="9"/>
  <c r="A75" i="9"/>
  <c r="AJ15" i="14" l="1"/>
  <c r="AP15" i="14"/>
  <c r="P48" i="13"/>
  <c r="P48" i="11"/>
  <c r="P75" i="9"/>
  <c r="AO102" i="7" l="1"/>
  <c r="AJ102" i="7"/>
  <c r="AK102" i="7" s="1"/>
  <c r="AI102" i="7"/>
  <c r="AH102" i="7"/>
  <c r="AF102" i="7"/>
  <c r="AD102" i="7"/>
  <c r="AC102" i="7"/>
  <c r="AR102" i="7"/>
  <c r="AQ102" i="7"/>
  <c r="AP102" i="7"/>
  <c r="AN102" i="7"/>
  <c r="AM102" i="7"/>
  <c r="AL102" i="7"/>
  <c r="M102" i="7"/>
  <c r="N102" i="7" s="1"/>
  <c r="E102" i="7"/>
  <c r="B102" i="7"/>
  <c r="A102" i="7"/>
  <c r="AQ147" i="2"/>
  <c r="AP147" i="2"/>
  <c r="AO147" i="2"/>
  <c r="AN147" i="2"/>
  <c r="AM147" i="2"/>
  <c r="AL147" i="2"/>
  <c r="AK147" i="2"/>
  <c r="AI147" i="2"/>
  <c r="AG147" i="2"/>
  <c r="AF147" i="2"/>
  <c r="AD147" i="2"/>
  <c r="AC147" i="2"/>
  <c r="M147" i="2"/>
  <c r="N147" i="2" s="1"/>
  <c r="E147" i="2"/>
  <c r="B147" i="2"/>
  <c r="A147" i="2"/>
  <c r="AK14" i="14"/>
  <c r="AH14" i="14"/>
  <c r="AF14" i="14"/>
  <c r="AC14" i="14"/>
  <c r="Y14" i="14"/>
  <c r="X14" i="14"/>
  <c r="W14" i="14"/>
  <c r="V14" i="14"/>
  <c r="AO14" i="14" s="1"/>
  <c r="U14" i="14"/>
  <c r="AN14" i="14" s="1"/>
  <c r="T14" i="14"/>
  <c r="G14" i="14"/>
  <c r="D14" i="14"/>
  <c r="N15" i="14" s="1"/>
  <c r="O15" i="14" s="1"/>
  <c r="AS14" i="14"/>
  <c r="AQ14" i="14"/>
  <c r="E14" i="14"/>
  <c r="AJ47" i="13"/>
  <c r="AG47" i="13"/>
  <c r="AE47" i="13"/>
  <c r="AB47" i="13"/>
  <c r="AD47" i="13" s="1"/>
  <c r="Y47" i="13"/>
  <c r="AR47" i="13" s="1"/>
  <c r="X47" i="13"/>
  <c r="W47" i="13"/>
  <c r="V47" i="13"/>
  <c r="U47" i="13"/>
  <c r="T47" i="13"/>
  <c r="AM47" i="13" s="1"/>
  <c r="S47" i="13"/>
  <c r="G47" i="13"/>
  <c r="N47" i="13" s="1"/>
  <c r="O47" i="13" s="1"/>
  <c r="D47" i="13"/>
  <c r="AN47" i="13" s="1"/>
  <c r="C47" i="13"/>
  <c r="AO47" i="13"/>
  <c r="AL47" i="13"/>
  <c r="AI47" i="13"/>
  <c r="AH47" i="13"/>
  <c r="AF47" i="13"/>
  <c r="AC47" i="13"/>
  <c r="AQ47" i="13"/>
  <c r="AP47" i="13"/>
  <c r="F47" i="13"/>
  <c r="E47" i="13"/>
  <c r="AK47" i="13"/>
  <c r="B47" i="13"/>
  <c r="A47" i="13"/>
  <c r="AJ47" i="11"/>
  <c r="AG47" i="11"/>
  <c r="AE47" i="11"/>
  <c r="AF47" i="11" s="1"/>
  <c r="AB47" i="11"/>
  <c r="AD47" i="11" s="1"/>
  <c r="Y47" i="11"/>
  <c r="X47" i="11"/>
  <c r="W47" i="11"/>
  <c r="V47" i="11"/>
  <c r="U47" i="11"/>
  <c r="AN47" i="11" s="1"/>
  <c r="T47" i="11"/>
  <c r="S47" i="11"/>
  <c r="G47" i="11"/>
  <c r="D47" i="11"/>
  <c r="C47" i="11"/>
  <c r="AO47" i="11"/>
  <c r="AK47" i="11"/>
  <c r="AH47" i="11"/>
  <c r="AR47" i="11"/>
  <c r="AQ47" i="11"/>
  <c r="AP47" i="11"/>
  <c r="AM47" i="11"/>
  <c r="AL47" i="11"/>
  <c r="N47" i="11"/>
  <c r="O47" i="11" s="1"/>
  <c r="F47" i="11"/>
  <c r="E47" i="11"/>
  <c r="B47" i="11"/>
  <c r="A47" i="11"/>
  <c r="AJ74" i="9"/>
  <c r="AG74" i="9"/>
  <c r="AE74" i="9"/>
  <c r="AB74" i="9"/>
  <c r="AC74" i="9" s="1"/>
  <c r="Y74" i="9"/>
  <c r="X74" i="9"/>
  <c r="W74" i="9"/>
  <c r="AP74" i="9" s="1"/>
  <c r="V74" i="9"/>
  <c r="U74" i="9"/>
  <c r="T74" i="9"/>
  <c r="S74" i="9"/>
  <c r="G74" i="9"/>
  <c r="N74" i="9" s="1"/>
  <c r="O74" i="9" s="1"/>
  <c r="D74" i="9"/>
  <c r="F74" i="9" s="1"/>
  <c r="C74" i="9"/>
  <c r="AH74" i="9"/>
  <c r="AF74" i="9"/>
  <c r="AD74" i="9"/>
  <c r="B74" i="9"/>
  <c r="A74" i="9"/>
  <c r="AG101" i="7"/>
  <c r="AE101" i="7"/>
  <c r="AB101" i="7"/>
  <c r="Y100" i="7"/>
  <c r="AR14" i="14" l="1"/>
  <c r="AL14" i="14"/>
  <c r="AM14" i="14"/>
  <c r="R26" i="14"/>
  <c r="Q20" i="14"/>
  <c r="P17" i="14"/>
  <c r="AQ74" i="9"/>
  <c r="AL74" i="9"/>
  <c r="AM74" i="9"/>
  <c r="AI74" i="9"/>
  <c r="AN74" i="9"/>
  <c r="AK74" i="9"/>
  <c r="AR74" i="9"/>
  <c r="AO74" i="9"/>
  <c r="O102" i="7"/>
  <c r="O147" i="2"/>
  <c r="AJ14" i="14"/>
  <c r="AP14" i="14"/>
  <c r="AC47" i="11"/>
  <c r="AI47" i="11"/>
  <c r="Y101" i="7"/>
  <c r="AR101" i="7"/>
  <c r="AH101" i="7"/>
  <c r="AF101" i="7"/>
  <c r="X101" i="7"/>
  <c r="W101" i="7"/>
  <c r="V101" i="7"/>
  <c r="AO101" i="7" s="1"/>
  <c r="U101" i="7"/>
  <c r="AN101" i="7" s="1"/>
  <c r="T101" i="7"/>
  <c r="S101" i="7"/>
  <c r="AL101" i="7" s="1"/>
  <c r="R101" i="7"/>
  <c r="F101" i="7"/>
  <c r="D101" i="7"/>
  <c r="C101" i="7"/>
  <c r="AJ101" i="7"/>
  <c r="AQ101" i="7"/>
  <c r="AP101" i="7"/>
  <c r="M101" i="7"/>
  <c r="N101" i="7" s="1"/>
  <c r="B101" i="7"/>
  <c r="A101" i="7"/>
  <c r="AK101" i="7" l="1"/>
  <c r="AM101" i="7"/>
  <c r="E101" i="7"/>
  <c r="AC101" i="7"/>
  <c r="AI101" i="7"/>
  <c r="AD101" i="7"/>
  <c r="AQ146" i="2"/>
  <c r="AL146" i="2"/>
  <c r="AK146" i="2"/>
  <c r="AF146" i="2"/>
  <c r="AD146" i="2"/>
  <c r="AC146" i="2"/>
  <c r="AP146" i="2"/>
  <c r="AM146" i="2"/>
  <c r="M146" i="2"/>
  <c r="N146" i="2" s="1"/>
  <c r="AI146" i="2"/>
  <c r="B146" i="2"/>
  <c r="A146" i="2"/>
  <c r="AK13" i="14"/>
  <c r="AH13" i="14"/>
  <c r="AF13" i="14"/>
  <c r="AC13" i="14"/>
  <c r="Z13" i="14"/>
  <c r="AR13" i="14"/>
  <c r="X13" i="14"/>
  <c r="W13" i="14"/>
  <c r="V13" i="14"/>
  <c r="U13" i="14"/>
  <c r="T13" i="14"/>
  <c r="AM13" i="14" s="1"/>
  <c r="G13" i="14"/>
  <c r="D13" i="14"/>
  <c r="C13" i="14"/>
  <c r="E13" i="14"/>
  <c r="AJ46" i="13"/>
  <c r="AG46" i="13"/>
  <c r="AH46" i="13" s="1"/>
  <c r="AE46" i="13"/>
  <c r="AB46" i="13"/>
  <c r="AC46" i="13" s="1"/>
  <c r="Y46" i="13"/>
  <c r="AR46" i="13" s="1"/>
  <c r="X46" i="13"/>
  <c r="AQ46" i="13" s="1"/>
  <c r="W46" i="13"/>
  <c r="V46" i="13"/>
  <c r="AO46" i="13" s="1"/>
  <c r="U46" i="13"/>
  <c r="T46" i="13"/>
  <c r="S46" i="13"/>
  <c r="AL46" i="13" s="1"/>
  <c r="G46" i="13"/>
  <c r="N46" i="13" s="1"/>
  <c r="O46" i="13" s="1"/>
  <c r="D46" i="13"/>
  <c r="AK46" i="13" s="1"/>
  <c r="C46" i="13"/>
  <c r="AI46" i="13"/>
  <c r="AF46" i="13"/>
  <c r="AD46" i="13"/>
  <c r="AP46" i="13"/>
  <c r="AN46" i="13"/>
  <c r="AM46" i="13"/>
  <c r="F46" i="13"/>
  <c r="E46" i="13"/>
  <c r="B46" i="13"/>
  <c r="A46" i="13"/>
  <c r="AJ46" i="11"/>
  <c r="AG46" i="11"/>
  <c r="AE46" i="11"/>
  <c r="AB46" i="11"/>
  <c r="AD46" i="11" s="1"/>
  <c r="Y46" i="11"/>
  <c r="AR46" i="11" s="1"/>
  <c r="X46" i="11"/>
  <c r="AQ46" i="11" s="1"/>
  <c r="W46" i="11"/>
  <c r="AP46" i="11" s="1"/>
  <c r="V46" i="11"/>
  <c r="U46" i="11"/>
  <c r="T46" i="11"/>
  <c r="AM46" i="11" s="1"/>
  <c r="S46" i="11"/>
  <c r="AL46" i="11" s="1"/>
  <c r="G46" i="11"/>
  <c r="N46" i="11" s="1"/>
  <c r="O46" i="11" s="1"/>
  <c r="D46" i="11"/>
  <c r="AO46" i="11" s="1"/>
  <c r="C46" i="11"/>
  <c r="AH46" i="11"/>
  <c r="AF46" i="11"/>
  <c r="AN46" i="11"/>
  <c r="E46" i="11"/>
  <c r="B46" i="11"/>
  <c r="A46" i="11"/>
  <c r="AJ73" i="9"/>
  <c r="AG73" i="9"/>
  <c r="AE73" i="9"/>
  <c r="AF73" i="9" s="1"/>
  <c r="AB73" i="9"/>
  <c r="AD73" i="9" s="1"/>
  <c r="Y73" i="9"/>
  <c r="X73" i="9"/>
  <c r="W73" i="9"/>
  <c r="V73" i="9"/>
  <c r="U73" i="9"/>
  <c r="AN73" i="9" s="1"/>
  <c r="T73" i="9"/>
  <c r="AM73" i="9" s="1"/>
  <c r="S73" i="9"/>
  <c r="G73" i="9"/>
  <c r="D73" i="9"/>
  <c r="AR73" i="9" s="1"/>
  <c r="C73" i="9"/>
  <c r="AH73" i="9"/>
  <c r="AC73" i="9"/>
  <c r="AP73" i="9"/>
  <c r="N73" i="9"/>
  <c r="O73" i="9" s="1"/>
  <c r="AK73" i="9"/>
  <c r="B73" i="9"/>
  <c r="A73" i="9"/>
  <c r="AG100" i="7"/>
  <c r="AE100" i="7"/>
  <c r="AB100" i="7"/>
  <c r="AD100" i="7" s="1"/>
  <c r="X100" i="7"/>
  <c r="W100" i="7"/>
  <c r="V100" i="7"/>
  <c r="U100" i="7"/>
  <c r="T100" i="7"/>
  <c r="AM100" i="7" s="1"/>
  <c r="S100" i="7"/>
  <c r="R100" i="7"/>
  <c r="F100" i="7"/>
  <c r="D100" i="7"/>
  <c r="C100" i="7"/>
  <c r="AO100" i="7"/>
  <c r="AI100" i="7"/>
  <c r="AH100" i="7"/>
  <c r="AF100" i="7"/>
  <c r="AC100" i="7"/>
  <c r="AR100" i="7"/>
  <c r="AQ100" i="7"/>
  <c r="AP100" i="7"/>
  <c r="AN100" i="7"/>
  <c r="AL100" i="7"/>
  <c r="E100" i="7"/>
  <c r="B100" i="7"/>
  <c r="A100" i="7"/>
  <c r="AH145" i="2"/>
  <c r="AE145" i="2"/>
  <c r="AF145" i="2" s="1"/>
  <c r="AB145" i="2"/>
  <c r="Y145" i="2"/>
  <c r="AQ145" i="2" s="1"/>
  <c r="X145" i="2"/>
  <c r="W145" i="2"/>
  <c r="AO145" i="2" s="1"/>
  <c r="V145" i="2"/>
  <c r="U145" i="2"/>
  <c r="AM145" i="2" s="1"/>
  <c r="T145" i="2"/>
  <c r="S145" i="2"/>
  <c r="R145" i="2"/>
  <c r="F145" i="2"/>
  <c r="M145" i="2" s="1"/>
  <c r="N145" i="2" s="1"/>
  <c r="D145" i="2"/>
  <c r="C145" i="2"/>
  <c r="AN145" i="2"/>
  <c r="AK145" i="2"/>
  <c r="AG145" i="2"/>
  <c r="AD145" i="2"/>
  <c r="AC145" i="2"/>
  <c r="AP145" i="2"/>
  <c r="AL145" i="2"/>
  <c r="AI145" i="2"/>
  <c r="B145" i="2"/>
  <c r="A145" i="2"/>
  <c r="Q10" i="11"/>
  <c r="Q11" i="13"/>
  <c r="Q10" i="13"/>
  <c r="AJ45" i="13"/>
  <c r="AG45" i="13"/>
  <c r="AE45" i="13"/>
  <c r="AB45" i="13"/>
  <c r="Y45" i="13"/>
  <c r="X45" i="13"/>
  <c r="AQ45" i="13" s="1"/>
  <c r="W45" i="13"/>
  <c r="V45" i="13"/>
  <c r="U45" i="13"/>
  <c r="T45" i="13"/>
  <c r="S45" i="13"/>
  <c r="G45" i="13"/>
  <c r="D45" i="13"/>
  <c r="C45" i="13"/>
  <c r="AM45" i="13"/>
  <c r="AH45" i="13"/>
  <c r="AF45" i="13"/>
  <c r="AD45" i="13"/>
  <c r="AI45" i="13"/>
  <c r="AR45" i="13"/>
  <c r="AO45" i="13"/>
  <c r="AN45" i="13"/>
  <c r="AL45" i="13"/>
  <c r="F45" i="13"/>
  <c r="E45" i="13"/>
  <c r="AK45" i="13"/>
  <c r="B45" i="13"/>
  <c r="A45" i="13"/>
  <c r="AJ72" i="9"/>
  <c r="AG72" i="9"/>
  <c r="AE72" i="9"/>
  <c r="AF72" i="9" s="1"/>
  <c r="AB72" i="9"/>
  <c r="Y72" i="9"/>
  <c r="X72" i="9"/>
  <c r="AQ72" i="9" s="1"/>
  <c r="W72" i="9"/>
  <c r="V72" i="9"/>
  <c r="U72" i="9"/>
  <c r="AN72" i="9" s="1"/>
  <c r="T72" i="9"/>
  <c r="S72" i="9"/>
  <c r="G72" i="9"/>
  <c r="D72" i="9"/>
  <c r="C72" i="9"/>
  <c r="AL72" i="9"/>
  <c r="AH72" i="9"/>
  <c r="AD72" i="9"/>
  <c r="AI72" i="9"/>
  <c r="AR72" i="9"/>
  <c r="AP72" i="9"/>
  <c r="AO72" i="9"/>
  <c r="AM72" i="9"/>
  <c r="F72" i="9"/>
  <c r="AK72" i="9"/>
  <c r="B72" i="9"/>
  <c r="A72" i="9"/>
  <c r="AS13" i="14" l="1"/>
  <c r="N14" i="14"/>
  <c r="O14" i="14" s="1"/>
  <c r="AP13" i="14"/>
  <c r="AQ13" i="14"/>
  <c r="AG146" i="2"/>
  <c r="AN146" i="2"/>
  <c r="AO146" i="2"/>
  <c r="E146" i="2"/>
  <c r="AN13" i="14"/>
  <c r="AO13" i="14"/>
  <c r="AL13" i="14"/>
  <c r="AJ13" i="14"/>
  <c r="F46" i="11"/>
  <c r="AI46" i="11"/>
  <c r="AK46" i="11"/>
  <c r="AC46" i="11"/>
  <c r="AQ73" i="9"/>
  <c r="AI73" i="9"/>
  <c r="F73" i="9"/>
  <c r="AL73" i="9"/>
  <c r="AO73" i="9"/>
  <c r="AJ100" i="7"/>
  <c r="AK100" i="7" s="1"/>
  <c r="E145" i="2"/>
  <c r="AC45" i="13"/>
  <c r="AP45" i="13"/>
  <c r="AC72" i="9"/>
  <c r="R25" i="14" l="1"/>
  <c r="Q19" i="14"/>
  <c r="P16" i="14"/>
  <c r="AK12" i="14"/>
  <c r="AH12" i="14"/>
  <c r="AF12" i="14"/>
  <c r="AC12" i="14"/>
  <c r="Y12" i="14"/>
  <c r="AR12" i="14" s="1"/>
  <c r="X12" i="14"/>
  <c r="W12" i="14"/>
  <c r="V12" i="14"/>
  <c r="U12" i="14"/>
  <c r="T12" i="14"/>
  <c r="G12" i="14"/>
  <c r="D12" i="14"/>
  <c r="C12" i="14"/>
  <c r="E12" i="14"/>
  <c r="AJ45" i="11"/>
  <c r="AG45" i="11"/>
  <c r="AE45" i="11"/>
  <c r="AF45" i="11" s="1"/>
  <c r="AB45" i="11"/>
  <c r="Y45" i="11"/>
  <c r="X45" i="11"/>
  <c r="AQ45" i="11" s="1"/>
  <c r="W45" i="11"/>
  <c r="V45" i="11"/>
  <c r="U45" i="11"/>
  <c r="T45" i="11"/>
  <c r="S45" i="11"/>
  <c r="G45" i="11"/>
  <c r="D45" i="11"/>
  <c r="C45" i="11"/>
  <c r="AM45" i="11"/>
  <c r="AH45" i="11"/>
  <c r="AD45" i="11"/>
  <c r="AI45" i="11"/>
  <c r="AR45" i="11"/>
  <c r="AP45" i="11"/>
  <c r="AO45" i="11"/>
  <c r="AN45" i="11"/>
  <c r="AL45" i="11"/>
  <c r="E45" i="11"/>
  <c r="B45" i="11"/>
  <c r="A45" i="11"/>
  <c r="Y99" i="7"/>
  <c r="Y98" i="7"/>
  <c r="AM12" i="14" l="1"/>
  <c r="N13" i="14"/>
  <c r="O13" i="14" s="1"/>
  <c r="AP12" i="14"/>
  <c r="AO12" i="14"/>
  <c r="AJ12" i="14"/>
  <c r="AS12" i="14"/>
  <c r="AN12" i="14"/>
  <c r="AQ12" i="14"/>
  <c r="AL12" i="14"/>
  <c r="AC45" i="11"/>
  <c r="F45" i="11"/>
  <c r="AK45" i="11"/>
  <c r="R24" i="14" l="1"/>
  <c r="Q18" i="14"/>
  <c r="P15" i="14"/>
  <c r="AG99" i="7"/>
  <c r="AE99" i="7"/>
  <c r="AB99" i="7"/>
  <c r="AD99" i="7" s="1"/>
  <c r="X99" i="7"/>
  <c r="AQ99" i="7" s="1"/>
  <c r="W99" i="7"/>
  <c r="AP99" i="7" s="1"/>
  <c r="V99" i="7"/>
  <c r="AO99" i="7" s="1"/>
  <c r="U99" i="7"/>
  <c r="T99" i="7"/>
  <c r="S99" i="7"/>
  <c r="R99" i="7"/>
  <c r="F99" i="7"/>
  <c r="D99" i="7"/>
  <c r="M100" i="7" s="1"/>
  <c r="N100" i="7" s="1"/>
  <c r="C99" i="7"/>
  <c r="AH99" i="7"/>
  <c r="AF99" i="7"/>
  <c r="AC99" i="7"/>
  <c r="B99" i="7"/>
  <c r="A99" i="7"/>
  <c r="AH144" i="2"/>
  <c r="AE144" i="2"/>
  <c r="AB144" i="2"/>
  <c r="AG144" i="2" s="1"/>
  <c r="Y144" i="2"/>
  <c r="X144" i="2"/>
  <c r="W144" i="2"/>
  <c r="V144" i="2"/>
  <c r="U144" i="2"/>
  <c r="T144" i="2"/>
  <c r="AL144" i="2" s="1"/>
  <c r="S144" i="2"/>
  <c r="R144" i="2"/>
  <c r="F144" i="2"/>
  <c r="D144" i="2"/>
  <c r="C144" i="2"/>
  <c r="AN144" i="2"/>
  <c r="AF144" i="2"/>
  <c r="AD144" i="2"/>
  <c r="AQ144" i="2"/>
  <c r="AP144" i="2"/>
  <c r="AM144" i="2"/>
  <c r="AK144" i="2"/>
  <c r="E144" i="2"/>
  <c r="B144" i="2"/>
  <c r="A144" i="2"/>
  <c r="E99" i="7" l="1"/>
  <c r="AM99" i="7"/>
  <c r="AR99" i="7"/>
  <c r="AL99" i="7"/>
  <c r="AN99" i="7"/>
  <c r="AI99" i="7"/>
  <c r="AJ99" i="7"/>
  <c r="AK99" i="7" s="1"/>
  <c r="AC144" i="2"/>
  <c r="AI144" i="2"/>
  <c r="AO144" i="2"/>
  <c r="AK11" i="14" l="1"/>
  <c r="AH11" i="14"/>
  <c r="AF11" i="14"/>
  <c r="AC11" i="14"/>
  <c r="Z11" i="14"/>
  <c r="Y11" i="14"/>
  <c r="X11" i="14"/>
  <c r="W11" i="14"/>
  <c r="V11" i="14"/>
  <c r="U11" i="14"/>
  <c r="T11" i="14"/>
  <c r="G11" i="14"/>
  <c r="D11" i="14"/>
  <c r="N12" i="14" s="1"/>
  <c r="O12" i="14" s="1"/>
  <c r="R23" i="14" s="1"/>
  <c r="C11" i="14"/>
  <c r="E11" i="14"/>
  <c r="AJ44" i="13"/>
  <c r="AG44" i="13"/>
  <c r="AH44" i="13" s="1"/>
  <c r="AE44" i="13"/>
  <c r="AF44" i="13" s="1"/>
  <c r="AB44" i="13"/>
  <c r="AC44" i="13" s="1"/>
  <c r="Y44" i="13"/>
  <c r="X44" i="13"/>
  <c r="W44" i="13"/>
  <c r="V44" i="13"/>
  <c r="U44" i="13"/>
  <c r="T44" i="13"/>
  <c r="S44" i="13"/>
  <c r="G44" i="13"/>
  <c r="D44" i="13"/>
  <c r="C44" i="13"/>
  <c r="E44" i="13"/>
  <c r="AJ44" i="11"/>
  <c r="AG44" i="11"/>
  <c r="AH44" i="11" s="1"/>
  <c r="AE44" i="11"/>
  <c r="AB44" i="11"/>
  <c r="Y44" i="11"/>
  <c r="X44" i="11"/>
  <c r="W44" i="11"/>
  <c r="V44" i="11"/>
  <c r="U44" i="11"/>
  <c r="T44" i="11"/>
  <c r="S44" i="11"/>
  <c r="G44" i="11"/>
  <c r="D44" i="11"/>
  <c r="C44" i="11"/>
  <c r="AF44" i="11"/>
  <c r="E44" i="11"/>
  <c r="AJ71" i="9"/>
  <c r="AG71" i="9"/>
  <c r="AH71" i="9" s="1"/>
  <c r="AE71" i="9"/>
  <c r="AF71" i="9" s="1"/>
  <c r="AB71" i="9"/>
  <c r="AC71" i="9" s="1"/>
  <c r="Y71" i="9"/>
  <c r="X71" i="9"/>
  <c r="W71" i="9"/>
  <c r="V71" i="9"/>
  <c r="U71" i="9"/>
  <c r="T71" i="9"/>
  <c r="S71" i="9"/>
  <c r="G71" i="9"/>
  <c r="D71" i="9"/>
  <c r="C71" i="9"/>
  <c r="AG98" i="7"/>
  <c r="AH98" i="7" s="1"/>
  <c r="AE98" i="7"/>
  <c r="AF98" i="7" s="1"/>
  <c r="AB98" i="7"/>
  <c r="AD98" i="7" s="1"/>
  <c r="X98" i="7"/>
  <c r="W98" i="7"/>
  <c r="V98" i="7"/>
  <c r="U98" i="7"/>
  <c r="T98" i="7"/>
  <c r="S98" i="7"/>
  <c r="R98" i="7"/>
  <c r="F98" i="7"/>
  <c r="D98" i="7"/>
  <c r="E98" i="7" s="1"/>
  <c r="C98" i="7"/>
  <c r="AH143" i="2"/>
  <c r="AE143" i="2"/>
  <c r="AF143" i="2" s="1"/>
  <c r="AB143" i="2"/>
  <c r="AC143" i="2" s="1"/>
  <c r="Y143" i="2"/>
  <c r="X143" i="2"/>
  <c r="W143" i="2"/>
  <c r="V143" i="2"/>
  <c r="U143" i="2"/>
  <c r="T143" i="2"/>
  <c r="S143" i="2"/>
  <c r="R143" i="2"/>
  <c r="F143" i="2"/>
  <c r="D143" i="2"/>
  <c r="M144" i="2" s="1"/>
  <c r="N144" i="2" s="1"/>
  <c r="C143" i="2"/>
  <c r="P14" i="14" l="1"/>
  <c r="Q17" i="14"/>
  <c r="O146" i="2"/>
  <c r="P149" i="2"/>
  <c r="AR11" i="14"/>
  <c r="AN143" i="2"/>
  <c r="AG143" i="2"/>
  <c r="AM143" i="2"/>
  <c r="AC98" i="7"/>
  <c r="AQ44" i="13"/>
  <c r="AO143" i="2"/>
  <c r="AP143" i="2"/>
  <c r="E143" i="2"/>
  <c r="AK143" i="2"/>
  <c r="AI143" i="2"/>
  <c r="AL143" i="2"/>
  <c r="AR44" i="13"/>
  <c r="AL44" i="13"/>
  <c r="AM11" i="14"/>
  <c r="AN44" i="13"/>
  <c r="AP11" i="14"/>
  <c r="AO44" i="13"/>
  <c r="N45" i="13"/>
  <c r="O45" i="13" s="1"/>
  <c r="AP44" i="13"/>
  <c r="AR71" i="9"/>
  <c r="N72" i="9"/>
  <c r="O72" i="9" s="1"/>
  <c r="AO98" i="7"/>
  <c r="F71" i="9"/>
  <c r="AM71" i="9"/>
  <c r="AO71" i="9"/>
  <c r="AO44" i="11"/>
  <c r="N45" i="11"/>
  <c r="O45" i="11" s="1"/>
  <c r="AP44" i="11"/>
  <c r="AM98" i="7"/>
  <c r="AN98" i="7"/>
  <c r="AQ98" i="7"/>
  <c r="M99" i="7"/>
  <c r="N99" i="7" s="1"/>
  <c r="P104" i="7" s="1"/>
  <c r="F44" i="11"/>
  <c r="AN44" i="11"/>
  <c r="AP98" i="7"/>
  <c r="AI98" i="7"/>
  <c r="AQ44" i="11"/>
  <c r="F44" i="13"/>
  <c r="AS11" i="14"/>
  <c r="AL44" i="11"/>
  <c r="AP71" i="9"/>
  <c r="AR44" i="11"/>
  <c r="AJ98" i="7"/>
  <c r="AK98" i="7" s="1"/>
  <c r="AL98" i="7"/>
  <c r="AR98" i="7"/>
  <c r="AK44" i="11"/>
  <c r="AM44" i="13"/>
  <c r="AO11" i="14"/>
  <c r="AM44" i="11"/>
  <c r="AJ11" i="14"/>
  <c r="AQ11" i="14"/>
  <c r="AN11" i="14"/>
  <c r="AL11" i="14"/>
  <c r="AI44" i="13"/>
  <c r="AK44" i="13"/>
  <c r="AI44" i="11"/>
  <c r="AC44" i="11"/>
  <c r="AN71" i="9"/>
  <c r="AI71" i="9"/>
  <c r="AK71" i="9"/>
  <c r="AQ71" i="9"/>
  <c r="AL71" i="9"/>
  <c r="AQ143" i="2"/>
  <c r="Y97" i="7"/>
  <c r="P47" i="13" l="1"/>
  <c r="Q50" i="13"/>
  <c r="P47" i="11"/>
  <c r="Q50" i="11"/>
  <c r="P74" i="9"/>
  <c r="Q77" i="9"/>
  <c r="O101" i="7"/>
  <c r="AK10" i="14"/>
  <c r="AH10" i="14"/>
  <c r="AF10" i="14"/>
  <c r="AC10" i="14"/>
  <c r="Y10" i="14"/>
  <c r="X10" i="14"/>
  <c r="W10" i="14"/>
  <c r="V10" i="14"/>
  <c r="U10" i="14"/>
  <c r="T10" i="14"/>
  <c r="G10" i="14"/>
  <c r="D10" i="14"/>
  <c r="C10" i="14"/>
  <c r="E10" i="14"/>
  <c r="AJ43" i="13"/>
  <c r="AG43" i="13"/>
  <c r="AH43" i="13" s="1"/>
  <c r="AE43" i="13"/>
  <c r="AB43" i="13"/>
  <c r="Y43" i="13"/>
  <c r="X43" i="13"/>
  <c r="W43" i="13"/>
  <c r="V43" i="13"/>
  <c r="U43" i="13"/>
  <c r="T43" i="13"/>
  <c r="S43" i="13"/>
  <c r="G43" i="13"/>
  <c r="D43" i="13"/>
  <c r="C43" i="13"/>
  <c r="AF43" i="13"/>
  <c r="E43" i="13"/>
  <c r="AJ43" i="11"/>
  <c r="AG43" i="11"/>
  <c r="AH43" i="11" s="1"/>
  <c r="AE43" i="11"/>
  <c r="AF43" i="11" s="1"/>
  <c r="AB43" i="11"/>
  <c r="Y43" i="11"/>
  <c r="X43" i="11"/>
  <c r="W43" i="11"/>
  <c r="V43" i="11"/>
  <c r="U43" i="11"/>
  <c r="T43" i="11"/>
  <c r="S43" i="11"/>
  <c r="G43" i="11"/>
  <c r="D43" i="11"/>
  <c r="C43" i="11"/>
  <c r="E43" i="11"/>
  <c r="AJ70" i="9"/>
  <c r="AG70" i="9"/>
  <c r="AH70" i="9" s="1"/>
  <c r="AE70" i="9"/>
  <c r="AF70" i="9" s="1"/>
  <c r="AB70" i="9"/>
  <c r="Y70" i="9"/>
  <c r="X70" i="9"/>
  <c r="W70" i="9"/>
  <c r="V70" i="9"/>
  <c r="U70" i="9"/>
  <c r="T70" i="9"/>
  <c r="S70" i="9"/>
  <c r="G70" i="9"/>
  <c r="D70" i="9"/>
  <c r="N71" i="9" s="1"/>
  <c r="O71" i="9" s="1"/>
  <c r="C70" i="9"/>
  <c r="AG97" i="7"/>
  <c r="AH97" i="7" s="1"/>
  <c r="AE97" i="7"/>
  <c r="AF97" i="7" s="1"/>
  <c r="AB97" i="7"/>
  <c r="AD97" i="7" s="1"/>
  <c r="X97" i="7"/>
  <c r="W97" i="7"/>
  <c r="V97" i="7"/>
  <c r="U97" i="7"/>
  <c r="T97" i="7"/>
  <c r="S97" i="7"/>
  <c r="R97" i="7"/>
  <c r="F97" i="7"/>
  <c r="D97" i="7"/>
  <c r="C97" i="7"/>
  <c r="AH142" i="2"/>
  <c r="AE142" i="2"/>
  <c r="AF142" i="2" s="1"/>
  <c r="AB142" i="2"/>
  <c r="Y142" i="2"/>
  <c r="X142" i="2"/>
  <c r="W142" i="2"/>
  <c r="V142" i="2"/>
  <c r="U142" i="2"/>
  <c r="T142" i="2"/>
  <c r="S142" i="2"/>
  <c r="R142" i="2"/>
  <c r="F142" i="2"/>
  <c r="D142" i="2"/>
  <c r="M143" i="2" s="1"/>
  <c r="N143" i="2" s="1"/>
  <c r="C142" i="2"/>
  <c r="O145" i="2" l="1"/>
  <c r="P148" i="2"/>
  <c r="AP10" i="14"/>
  <c r="P73" i="9"/>
  <c r="Q76" i="9"/>
  <c r="AN43" i="13"/>
  <c r="AN142" i="2"/>
  <c r="AN70" i="9"/>
  <c r="AO70" i="9"/>
  <c r="AP70" i="9"/>
  <c r="AL142" i="2"/>
  <c r="AN97" i="7"/>
  <c r="AR10" i="14"/>
  <c r="AG142" i="2"/>
  <c r="F70" i="9"/>
  <c r="F43" i="11"/>
  <c r="N44" i="11"/>
  <c r="O44" i="11" s="1"/>
  <c r="AO43" i="13"/>
  <c r="F43" i="13"/>
  <c r="N44" i="13"/>
  <c r="O44" i="13" s="1"/>
  <c r="AP43" i="13"/>
  <c r="AM142" i="2"/>
  <c r="AK70" i="9"/>
  <c r="AM70" i="9"/>
  <c r="AQ43" i="13"/>
  <c r="E97" i="7"/>
  <c r="M98" i="7"/>
  <c r="N98" i="7" s="1"/>
  <c r="AS10" i="14"/>
  <c r="N11" i="14"/>
  <c r="O11" i="14" s="1"/>
  <c r="R22" i="14" s="1"/>
  <c r="AP43" i="11"/>
  <c r="AN43" i="11"/>
  <c r="AR43" i="11"/>
  <c r="AK43" i="13"/>
  <c r="AL43" i="13"/>
  <c r="AR43" i="13"/>
  <c r="AO10" i="14"/>
  <c r="AM43" i="13"/>
  <c r="AL43" i="11"/>
  <c r="AO97" i="7"/>
  <c r="AQ70" i="9"/>
  <c r="AK43" i="11"/>
  <c r="AP97" i="7"/>
  <c r="AL70" i="9"/>
  <c r="AO43" i="11"/>
  <c r="AN10" i="14"/>
  <c r="AQ10" i="14"/>
  <c r="AQ97" i="7"/>
  <c r="AR97" i="7"/>
  <c r="AL97" i="7"/>
  <c r="AM97" i="7"/>
  <c r="AM43" i="11"/>
  <c r="AQ43" i="11"/>
  <c r="AM10" i="14"/>
  <c r="AJ10" i="14"/>
  <c r="AL10" i="14"/>
  <c r="AI43" i="13"/>
  <c r="AC43" i="13"/>
  <c r="AI43" i="11"/>
  <c r="AC43" i="11"/>
  <c r="AI70" i="9"/>
  <c r="AR70" i="9"/>
  <c r="AC70" i="9"/>
  <c r="AI97" i="7"/>
  <c r="AJ97" i="7"/>
  <c r="AK97" i="7" s="1"/>
  <c r="AC97" i="7"/>
  <c r="AI142" i="2"/>
  <c r="AK142" i="2"/>
  <c r="AQ142" i="2"/>
  <c r="AO142" i="2"/>
  <c r="E142" i="2"/>
  <c r="AC142" i="2"/>
  <c r="AP142" i="2"/>
  <c r="AK9" i="14"/>
  <c r="AH9" i="14"/>
  <c r="AF9" i="14"/>
  <c r="AC9" i="14"/>
  <c r="Z9" i="14"/>
  <c r="Y9" i="14"/>
  <c r="X9" i="14"/>
  <c r="W9" i="14"/>
  <c r="V9" i="14"/>
  <c r="U9" i="14"/>
  <c r="T9" i="14"/>
  <c r="G9" i="14"/>
  <c r="D9" i="14"/>
  <c r="C9" i="14"/>
  <c r="E9" i="14"/>
  <c r="O100" i="7" l="1"/>
  <c r="P103" i="7"/>
  <c r="P46" i="11"/>
  <c r="Q49" i="11"/>
  <c r="P46" i="13"/>
  <c r="Q49" i="13"/>
  <c r="P13" i="14"/>
  <c r="Q16" i="14"/>
  <c r="AQ9" i="14"/>
  <c r="AN9" i="14"/>
  <c r="N10" i="14"/>
  <c r="O10" i="14" s="1"/>
  <c r="R21" i="14" s="1"/>
  <c r="AO9" i="14"/>
  <c r="AP9" i="14"/>
  <c r="AJ9" i="14"/>
  <c r="AR9" i="14"/>
  <c r="AM9" i="14"/>
  <c r="AS9" i="14"/>
  <c r="AL9" i="14"/>
  <c r="P12" i="14" l="1"/>
  <c r="Q15" i="14"/>
  <c r="AJ42" i="13"/>
  <c r="AG42" i="13"/>
  <c r="AE42" i="13"/>
  <c r="AB42" i="13"/>
  <c r="Y42" i="13"/>
  <c r="X42" i="13"/>
  <c r="W42" i="13"/>
  <c r="V42" i="13"/>
  <c r="U42" i="13"/>
  <c r="T42" i="13"/>
  <c r="S42" i="13"/>
  <c r="G42" i="13"/>
  <c r="D42" i="13"/>
  <c r="N43" i="13" s="1"/>
  <c r="O43" i="13" s="1"/>
  <c r="C42" i="13"/>
  <c r="P45" i="13" l="1"/>
  <c r="Q48" i="13"/>
  <c r="AO42" i="13"/>
  <c r="AK42" i="13"/>
  <c r="AI42" i="13"/>
  <c r="AH42" i="13"/>
  <c r="AF42" i="13"/>
  <c r="AC42" i="13"/>
  <c r="AR42" i="13"/>
  <c r="AQ42" i="13"/>
  <c r="AP42" i="13"/>
  <c r="AN42" i="13"/>
  <c r="AM42" i="13"/>
  <c r="AL42" i="13"/>
  <c r="F42" i="13"/>
  <c r="E42" i="13"/>
  <c r="AJ42" i="11"/>
  <c r="AG42" i="11"/>
  <c r="AE42" i="11"/>
  <c r="AB42" i="11"/>
  <c r="Y42" i="11"/>
  <c r="X42" i="11"/>
  <c r="W42" i="11"/>
  <c r="V42" i="11"/>
  <c r="U42" i="11"/>
  <c r="T42" i="11"/>
  <c r="S42" i="11"/>
  <c r="G42" i="11"/>
  <c r="D42" i="11"/>
  <c r="N43" i="11" s="1"/>
  <c r="O43" i="11" s="1"/>
  <c r="C42" i="11"/>
  <c r="P45" i="11" l="1"/>
  <c r="Q48" i="11"/>
  <c r="AR42" i="11"/>
  <c r="AQ42" i="11"/>
  <c r="AP42" i="11"/>
  <c r="AO42" i="11"/>
  <c r="AN42" i="11"/>
  <c r="AM42" i="11"/>
  <c r="AL42" i="11"/>
  <c r="AK42" i="11"/>
  <c r="AI42" i="11"/>
  <c r="AH42" i="11"/>
  <c r="AF42" i="11"/>
  <c r="AC42" i="11"/>
  <c r="F42" i="11"/>
  <c r="E42" i="11"/>
  <c r="AJ69" i="9"/>
  <c r="AG69" i="9"/>
  <c r="AH69" i="9" s="1"/>
  <c r="AE69" i="9"/>
  <c r="AF69" i="9" s="1"/>
  <c r="AB69" i="9"/>
  <c r="AC69" i="9" s="1"/>
  <c r="Y69" i="9"/>
  <c r="X69" i="9"/>
  <c r="W69" i="9"/>
  <c r="V69" i="9"/>
  <c r="U69" i="9"/>
  <c r="T69" i="9"/>
  <c r="S69" i="9"/>
  <c r="G69" i="9"/>
  <c r="D69" i="9"/>
  <c r="C69" i="9"/>
  <c r="AL69" i="9" l="1"/>
  <c r="AM69" i="9"/>
  <c r="AN69" i="9"/>
  <c r="AP69" i="9"/>
  <c r="N70" i="9"/>
  <c r="O70" i="9" s="1"/>
  <c r="AR69" i="9"/>
  <c r="AK69" i="9"/>
  <c r="AQ69" i="9"/>
  <c r="F69" i="9"/>
  <c r="AI69" i="9"/>
  <c r="AO69" i="9"/>
  <c r="P72" i="9" l="1"/>
  <c r="Q75" i="9"/>
  <c r="AG95" i="7"/>
  <c r="AE95" i="7"/>
  <c r="AB95" i="7"/>
  <c r="AG96" i="7"/>
  <c r="AE96" i="7"/>
  <c r="AB96" i="7"/>
  <c r="Y93" i="7"/>
  <c r="Y94" i="7"/>
  <c r="Y95" i="7"/>
  <c r="Y96" i="7"/>
  <c r="X96" i="7"/>
  <c r="W96" i="7"/>
  <c r="V96" i="7"/>
  <c r="U96" i="7"/>
  <c r="T96" i="7"/>
  <c r="S96" i="7"/>
  <c r="R96" i="7"/>
  <c r="F96" i="7"/>
  <c r="D96" i="7"/>
  <c r="M97" i="7" s="1"/>
  <c r="N97" i="7" s="1"/>
  <c r="P102" i="7" s="1"/>
  <c r="C96" i="7"/>
  <c r="O99" i="7" l="1"/>
  <c r="AR96" i="7"/>
  <c r="AQ96" i="7"/>
  <c r="AP96" i="7"/>
  <c r="AO96" i="7"/>
  <c r="AN96" i="7"/>
  <c r="AM96" i="7"/>
  <c r="AL96" i="7"/>
  <c r="AJ96" i="7"/>
  <c r="AK96" i="7" s="1"/>
  <c r="AI96" i="7"/>
  <c r="AH96" i="7"/>
  <c r="AF96" i="7"/>
  <c r="AD96" i="7"/>
  <c r="AC96" i="7"/>
  <c r="E96" i="7"/>
  <c r="AH141" i="2" l="1"/>
  <c r="AE141" i="2"/>
  <c r="AF141" i="2" s="1"/>
  <c r="AB141" i="2"/>
  <c r="Y141" i="2"/>
  <c r="X141" i="2"/>
  <c r="W141" i="2"/>
  <c r="V141" i="2"/>
  <c r="U141" i="2"/>
  <c r="T141" i="2"/>
  <c r="S141" i="2"/>
  <c r="R141" i="2"/>
  <c r="F141" i="2"/>
  <c r="D141" i="2"/>
  <c r="M142" i="2" s="1"/>
  <c r="N142" i="2" s="1"/>
  <c r="C141" i="2"/>
  <c r="O144" i="2" l="1"/>
  <c r="P147" i="2"/>
  <c r="AN141" i="2"/>
  <c r="AP141" i="2"/>
  <c r="AM141" i="2"/>
  <c r="AG141" i="2"/>
  <c r="AO141" i="2"/>
  <c r="AL141" i="2"/>
  <c r="AK141" i="2"/>
  <c r="AQ141" i="2"/>
  <c r="E141" i="2"/>
  <c r="AI141" i="2"/>
  <c r="AC141" i="2"/>
  <c r="AL184" i="1" l="1"/>
  <c r="AI184" i="1"/>
  <c r="AJ184" i="1" s="1"/>
  <c r="AF184" i="1"/>
  <c r="AC184" i="1"/>
  <c r="AB184" i="1"/>
  <c r="AA184" i="1"/>
  <c r="Z184" i="1"/>
  <c r="Y184" i="1"/>
  <c r="X184" i="1"/>
  <c r="W184" i="1"/>
  <c r="V184" i="1"/>
  <c r="P184" i="1"/>
  <c r="I184" i="1"/>
  <c r="E184" i="1"/>
  <c r="G184" i="1" s="1"/>
  <c r="D184" i="1"/>
  <c r="C184" i="1"/>
  <c r="Q184" i="1" l="1"/>
  <c r="R184" i="1" s="1"/>
  <c r="AP184" i="1"/>
  <c r="AM184" i="1"/>
  <c r="AH184" i="1"/>
  <c r="AK184" i="1"/>
  <c r="AQ184" i="1"/>
  <c r="AO184" i="1"/>
  <c r="AS184" i="1"/>
  <c r="AT184" i="1"/>
  <c r="AR184" i="1"/>
  <c r="AG184" i="1"/>
  <c r="AK8" i="14"/>
  <c r="AH8" i="14"/>
  <c r="AF8" i="14"/>
  <c r="AC8" i="14"/>
  <c r="Z8" i="14"/>
  <c r="Y8" i="14"/>
  <c r="X8" i="14"/>
  <c r="AQ8" i="14" s="1"/>
  <c r="W8" i="14"/>
  <c r="AP8" i="14" s="1"/>
  <c r="V8" i="14"/>
  <c r="U8" i="14"/>
  <c r="T8" i="14"/>
  <c r="G8" i="14"/>
  <c r="E8" i="14"/>
  <c r="D8" i="14"/>
  <c r="N9" i="14" s="1"/>
  <c r="O9" i="14" s="1"/>
  <c r="R20" i="14" s="1"/>
  <c r="C8" i="14"/>
  <c r="AJ41" i="13"/>
  <c r="AG41" i="13"/>
  <c r="AH41" i="13" s="1"/>
  <c r="AE41" i="13"/>
  <c r="AF41" i="13" s="1"/>
  <c r="AB41" i="13"/>
  <c r="AI41" i="13" s="1"/>
  <c r="Y41" i="13"/>
  <c r="AR41" i="13" s="1"/>
  <c r="X41" i="13"/>
  <c r="W41" i="13"/>
  <c r="AP41" i="13" s="1"/>
  <c r="V41" i="13"/>
  <c r="U41" i="13"/>
  <c r="AN41" i="13" s="1"/>
  <c r="T41" i="13"/>
  <c r="AM41" i="13" s="1"/>
  <c r="S41" i="13"/>
  <c r="AL41" i="13" s="1"/>
  <c r="G41" i="13"/>
  <c r="E41" i="13"/>
  <c r="D41" i="13"/>
  <c r="N42" i="13" s="1"/>
  <c r="O42" i="13" s="1"/>
  <c r="C41" i="13"/>
  <c r="AO41" i="13"/>
  <c r="AK41" i="13"/>
  <c r="AQ41" i="13"/>
  <c r="F41" i="13"/>
  <c r="AJ41" i="11"/>
  <c r="AG41" i="11"/>
  <c r="AH41" i="11" s="1"/>
  <c r="AE41" i="11"/>
  <c r="AF41" i="11" s="1"/>
  <c r="AB41" i="11"/>
  <c r="AC41" i="11" s="1"/>
  <c r="Y41" i="11"/>
  <c r="X41" i="11"/>
  <c r="W41" i="11"/>
  <c r="V41" i="11"/>
  <c r="U41" i="11"/>
  <c r="T41" i="11"/>
  <c r="S41" i="11"/>
  <c r="G41" i="11"/>
  <c r="E41" i="11"/>
  <c r="D41" i="11"/>
  <c r="C41" i="11"/>
  <c r="AJ68" i="9"/>
  <c r="AG68" i="9"/>
  <c r="AH68" i="9" s="1"/>
  <c r="AE68" i="9"/>
  <c r="AF68" i="9" s="1"/>
  <c r="AB68" i="9"/>
  <c r="Y68" i="9"/>
  <c r="X68" i="9"/>
  <c r="W68" i="9"/>
  <c r="V68" i="9"/>
  <c r="U68" i="9"/>
  <c r="T68" i="9"/>
  <c r="S68" i="9"/>
  <c r="G68" i="9"/>
  <c r="D68" i="9"/>
  <c r="N69" i="9" s="1"/>
  <c r="O69" i="9" s="1"/>
  <c r="R80" i="9" s="1"/>
  <c r="C68" i="9"/>
  <c r="AH95" i="7"/>
  <c r="AF95" i="7"/>
  <c r="X95" i="7"/>
  <c r="W95" i="7"/>
  <c r="V95" i="7"/>
  <c r="U95" i="7"/>
  <c r="T95" i="7"/>
  <c r="S95" i="7"/>
  <c r="R95" i="7"/>
  <c r="F95" i="7"/>
  <c r="D95" i="7"/>
  <c r="C95" i="7"/>
  <c r="AH140" i="2"/>
  <c r="AE140" i="2"/>
  <c r="AF140" i="2" s="1"/>
  <c r="AB140" i="2"/>
  <c r="Y140" i="2"/>
  <c r="X140" i="2"/>
  <c r="W140" i="2"/>
  <c r="V140" i="2"/>
  <c r="U140" i="2"/>
  <c r="T140" i="2"/>
  <c r="S140" i="2"/>
  <c r="R140" i="2"/>
  <c r="F140" i="2"/>
  <c r="D140" i="2"/>
  <c r="C140" i="2"/>
  <c r="AL183" i="1"/>
  <c r="AF183" i="1"/>
  <c r="AH183" i="1" s="1"/>
  <c r="AC183" i="1"/>
  <c r="AB183" i="1"/>
  <c r="AA183" i="1"/>
  <c r="Z183" i="1"/>
  <c r="Y183" i="1"/>
  <c r="X183" i="1"/>
  <c r="AP183" i="1" s="1"/>
  <c r="W183" i="1"/>
  <c r="V183" i="1"/>
  <c r="P183" i="1"/>
  <c r="I183" i="1"/>
  <c r="E183" i="1"/>
  <c r="H184" i="1" s="1"/>
  <c r="D183" i="1"/>
  <c r="C183" i="1"/>
  <c r="P71" i="9" l="1"/>
  <c r="Q74" i="9"/>
  <c r="P44" i="13"/>
  <c r="Q47" i="13"/>
  <c r="P11" i="14"/>
  <c r="Q14" i="14"/>
  <c r="AK140" i="2"/>
  <c r="AC41" i="13"/>
  <c r="AN8" i="14"/>
  <c r="AR8" i="14"/>
  <c r="AO8" i="14"/>
  <c r="AJ8" i="14"/>
  <c r="AM8" i="14"/>
  <c r="AS8" i="14"/>
  <c r="AO68" i="9"/>
  <c r="AN140" i="2"/>
  <c r="AL68" i="9"/>
  <c r="AM68" i="9"/>
  <c r="AI68" i="9"/>
  <c r="AN68" i="9"/>
  <c r="AM140" i="2"/>
  <c r="M141" i="2"/>
  <c r="N141" i="2" s="1"/>
  <c r="AO41" i="11"/>
  <c r="AQ95" i="7"/>
  <c r="M96" i="7"/>
  <c r="N96" i="7" s="1"/>
  <c r="Q107" i="7" s="1"/>
  <c r="AO95" i="7"/>
  <c r="AK41" i="11"/>
  <c r="N42" i="11"/>
  <c r="O42" i="11" s="1"/>
  <c r="R53" i="11" s="1"/>
  <c r="AQ140" i="2"/>
  <c r="AO140" i="2"/>
  <c r="AL41" i="11"/>
  <c r="AR95" i="7"/>
  <c r="AL95" i="7"/>
  <c r="E140" i="2"/>
  <c r="AL140" i="2"/>
  <c r="AM95" i="7"/>
  <c r="AI95" i="7"/>
  <c r="AK68" i="9"/>
  <c r="AM41" i="11"/>
  <c r="AI41" i="11"/>
  <c r="AP140" i="2"/>
  <c r="AO183" i="1"/>
  <c r="AN95" i="7"/>
  <c r="AC68" i="9"/>
  <c r="AN41" i="11"/>
  <c r="AL8" i="14"/>
  <c r="AP41" i="11"/>
  <c r="F41" i="11"/>
  <c r="AQ41" i="11"/>
  <c r="AR41" i="11"/>
  <c r="AP68" i="9"/>
  <c r="F68" i="9"/>
  <c r="AQ68" i="9"/>
  <c r="AR68" i="9"/>
  <c r="AJ95" i="7"/>
  <c r="AK95" i="7" s="1"/>
  <c r="AC95" i="7"/>
  <c r="AD95" i="7"/>
  <c r="AP95" i="7"/>
  <c r="E95" i="7"/>
  <c r="AG140" i="2"/>
  <c r="AC140" i="2"/>
  <c r="AI140" i="2"/>
  <c r="AQ183" i="1"/>
  <c r="G183" i="1"/>
  <c r="AK183" i="1"/>
  <c r="AR183" i="1"/>
  <c r="AS183" i="1"/>
  <c r="AG183" i="1"/>
  <c r="AM183" i="1"/>
  <c r="AT183" i="1"/>
  <c r="AK7" i="14"/>
  <c r="AH7" i="14"/>
  <c r="AF7" i="14"/>
  <c r="AC7" i="14"/>
  <c r="Z7" i="14"/>
  <c r="Y7" i="14"/>
  <c r="X7" i="14"/>
  <c r="W7" i="14"/>
  <c r="V7" i="14"/>
  <c r="U7" i="14"/>
  <c r="T7" i="14"/>
  <c r="G7" i="14"/>
  <c r="E7" i="14"/>
  <c r="D7" i="14"/>
  <c r="C7" i="14"/>
  <c r="AJ40" i="13"/>
  <c r="AG40" i="13"/>
  <c r="AH40" i="13" s="1"/>
  <c r="AE40" i="13"/>
  <c r="AF40" i="13" s="1"/>
  <c r="AB40" i="13"/>
  <c r="AC40" i="13" s="1"/>
  <c r="Y40" i="13"/>
  <c r="X40" i="13"/>
  <c r="W40" i="13"/>
  <c r="V40" i="13"/>
  <c r="U40" i="13"/>
  <c r="T40" i="13"/>
  <c r="S40" i="13"/>
  <c r="G40" i="13"/>
  <c r="E40" i="13"/>
  <c r="D40" i="13"/>
  <c r="C40" i="13"/>
  <c r="AJ40" i="11"/>
  <c r="AG40" i="11"/>
  <c r="AH40" i="11" s="1"/>
  <c r="AE40" i="11"/>
  <c r="AF40" i="11" s="1"/>
  <c r="AB40" i="11"/>
  <c r="Y40" i="11"/>
  <c r="X40" i="11"/>
  <c r="W40" i="11"/>
  <c r="V40" i="11"/>
  <c r="U40" i="11"/>
  <c r="T40" i="11"/>
  <c r="S40" i="11"/>
  <c r="G40" i="11"/>
  <c r="E40" i="11"/>
  <c r="D40" i="11"/>
  <c r="C40" i="11"/>
  <c r="AJ67" i="9"/>
  <c r="AG67" i="9"/>
  <c r="AH67" i="9" s="1"/>
  <c r="AE67" i="9"/>
  <c r="AF67" i="9" s="1"/>
  <c r="AB67" i="9"/>
  <c r="AC67" i="9" s="1"/>
  <c r="Y67" i="9"/>
  <c r="X67" i="9"/>
  <c r="W67" i="9"/>
  <c r="V67" i="9"/>
  <c r="U67" i="9"/>
  <c r="T67" i="9"/>
  <c r="S67" i="9"/>
  <c r="G67" i="9"/>
  <c r="D67" i="9"/>
  <c r="N68" i="9" s="1"/>
  <c r="O68" i="9" s="1"/>
  <c r="R79" i="9" s="1"/>
  <c r="C67" i="9"/>
  <c r="AG94" i="7"/>
  <c r="AH94" i="7" s="1"/>
  <c r="AE94" i="7"/>
  <c r="AF94" i="7" s="1"/>
  <c r="AB94" i="7"/>
  <c r="X94" i="7"/>
  <c r="W94" i="7"/>
  <c r="V94" i="7"/>
  <c r="U94" i="7"/>
  <c r="T94" i="7"/>
  <c r="S94" i="7"/>
  <c r="R94" i="7"/>
  <c r="F94" i="7"/>
  <c r="D94" i="7"/>
  <c r="M95" i="7" s="1"/>
  <c r="N95" i="7" s="1"/>
  <c r="C94" i="7"/>
  <c r="AH139" i="2"/>
  <c r="AE139" i="2"/>
  <c r="AF139" i="2" s="1"/>
  <c r="AB139" i="2"/>
  <c r="Y139" i="2"/>
  <c r="X139" i="2"/>
  <c r="W139" i="2"/>
  <c r="V139" i="2"/>
  <c r="U139" i="2"/>
  <c r="T139" i="2"/>
  <c r="S139" i="2"/>
  <c r="R139" i="2"/>
  <c r="F139" i="2"/>
  <c r="D139" i="2"/>
  <c r="C139" i="2"/>
  <c r="AL182" i="1"/>
  <c r="AF182" i="1"/>
  <c r="AK182" i="1" s="1"/>
  <c r="AC182" i="1"/>
  <c r="AB182" i="1"/>
  <c r="AA182" i="1"/>
  <c r="Z182" i="1"/>
  <c r="Y182" i="1"/>
  <c r="X182" i="1"/>
  <c r="AP182" i="1" s="1"/>
  <c r="W182" i="1"/>
  <c r="V182" i="1"/>
  <c r="P182" i="1"/>
  <c r="I182" i="1"/>
  <c r="E182" i="1"/>
  <c r="D182" i="1"/>
  <c r="C182" i="1"/>
  <c r="Q106" i="7" l="1"/>
  <c r="P146" i="2"/>
  <c r="Q152" i="2"/>
  <c r="O98" i="7"/>
  <c r="P101" i="7"/>
  <c r="P44" i="11"/>
  <c r="Q47" i="11"/>
  <c r="P100" i="7"/>
  <c r="P70" i="9"/>
  <c r="Q73" i="9"/>
  <c r="O143" i="2"/>
  <c r="AR7" i="14"/>
  <c r="AN139" i="2"/>
  <c r="AO67" i="9"/>
  <c r="AO182" i="1"/>
  <c r="AQ182" i="1"/>
  <c r="AL139" i="2"/>
  <c r="AG139" i="2"/>
  <c r="AL67" i="9"/>
  <c r="AI40" i="11"/>
  <c r="AM67" i="9"/>
  <c r="AK139" i="2"/>
  <c r="AI67" i="9"/>
  <c r="AM40" i="11"/>
  <c r="AS7" i="14"/>
  <c r="AL40" i="13"/>
  <c r="AQ7" i="14"/>
  <c r="O97" i="7"/>
  <c r="AM139" i="2"/>
  <c r="AI94" i="7"/>
  <c r="AP40" i="13"/>
  <c r="AM94" i="7"/>
  <c r="AN67" i="9"/>
  <c r="AN40" i="11"/>
  <c r="AM40" i="13"/>
  <c r="AN94" i="7"/>
  <c r="G182" i="1"/>
  <c r="AH182" i="1"/>
  <c r="AT182" i="1"/>
  <c r="AQ94" i="7"/>
  <c r="AN7" i="14"/>
  <c r="AG182" i="1"/>
  <c r="AQ139" i="2"/>
  <c r="AL94" i="7"/>
  <c r="AR94" i="7"/>
  <c r="AO7" i="14"/>
  <c r="N41" i="13"/>
  <c r="O41" i="13" s="1"/>
  <c r="R52" i="13" s="1"/>
  <c r="AP7" i="14"/>
  <c r="AM182" i="1"/>
  <c r="AS182" i="1"/>
  <c r="Q183" i="1"/>
  <c r="R183" i="1" s="1"/>
  <c r="H183" i="1"/>
  <c r="AN40" i="13"/>
  <c r="AM7" i="14"/>
  <c r="N8" i="14"/>
  <c r="O8" i="14" s="1"/>
  <c r="R19" i="14" s="1"/>
  <c r="M140" i="2"/>
  <c r="N140" i="2" s="1"/>
  <c r="Q151" i="2" s="1"/>
  <c r="AO94" i="7"/>
  <c r="AO40" i="13"/>
  <c r="AP94" i="7"/>
  <c r="AK67" i="9"/>
  <c r="AR40" i="11"/>
  <c r="AO40" i="11"/>
  <c r="N41" i="11"/>
  <c r="O41" i="11" s="1"/>
  <c r="R52" i="11" s="1"/>
  <c r="AJ7" i="14"/>
  <c r="AL7" i="14"/>
  <c r="F40" i="13"/>
  <c r="AQ40" i="13"/>
  <c r="AI40" i="13"/>
  <c r="AR40" i="13"/>
  <c r="AK40" i="13"/>
  <c r="AK40" i="11"/>
  <c r="AQ40" i="11"/>
  <c r="AL40" i="11"/>
  <c r="F40" i="11"/>
  <c r="AC40" i="11"/>
  <c r="AP40" i="11"/>
  <c r="AP67" i="9"/>
  <c r="F67" i="9"/>
  <c r="AQ67" i="9"/>
  <c r="AR67" i="9"/>
  <c r="E94" i="7"/>
  <c r="AD94" i="7"/>
  <c r="AJ94" i="7"/>
  <c r="AK94" i="7" s="1"/>
  <c r="AC94" i="7"/>
  <c r="AP139" i="2"/>
  <c r="AO139" i="2"/>
  <c r="E139" i="2"/>
  <c r="AC139" i="2"/>
  <c r="AI139" i="2"/>
  <c r="AR182" i="1"/>
  <c r="AK6" i="14"/>
  <c r="AH6" i="14"/>
  <c r="AF6" i="14"/>
  <c r="AC6" i="14"/>
  <c r="Z6" i="14"/>
  <c r="Y6" i="14"/>
  <c r="X6" i="14"/>
  <c r="W6" i="14"/>
  <c r="V6" i="14"/>
  <c r="U6" i="14"/>
  <c r="T6" i="14"/>
  <c r="G6" i="14"/>
  <c r="E6" i="14"/>
  <c r="D6" i="14"/>
  <c r="N7" i="14" s="1"/>
  <c r="O7" i="14" s="1"/>
  <c r="C6" i="14"/>
  <c r="B6" i="14"/>
  <c r="B7" i="14" s="1"/>
  <c r="B8" i="14" s="1"/>
  <c r="B9" i="14" s="1"/>
  <c r="B10" i="14" s="1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B44" i="14" s="1"/>
  <c r="B45" i="14" s="1"/>
  <c r="B46" i="14" s="1"/>
  <c r="B47" i="14" s="1"/>
  <c r="B48" i="14" s="1"/>
  <c r="B49" i="14" s="1"/>
  <c r="R18" i="14" l="1"/>
  <c r="P10" i="14"/>
  <c r="Q13" i="14"/>
  <c r="O142" i="2"/>
  <c r="P145" i="2"/>
  <c r="Q12" i="14"/>
  <c r="P43" i="13"/>
  <c r="Q46" i="13"/>
  <c r="P43" i="11"/>
  <c r="Q46" i="11"/>
  <c r="P9" i="14"/>
  <c r="AO6" i="14"/>
  <c r="AP6" i="14"/>
  <c r="AQ6" i="14"/>
  <c r="AR6" i="14"/>
  <c r="AN6" i="14"/>
  <c r="AJ6" i="14"/>
  <c r="AM6" i="14"/>
  <c r="AS6" i="14"/>
  <c r="AL6" i="14"/>
  <c r="AJ39" i="13" l="1"/>
  <c r="AG39" i="13"/>
  <c r="AE39" i="13"/>
  <c r="AB39" i="13"/>
  <c r="Y39" i="13"/>
  <c r="X39" i="13"/>
  <c r="W39" i="13"/>
  <c r="V39" i="13"/>
  <c r="U39" i="13"/>
  <c r="T39" i="13"/>
  <c r="S39" i="13"/>
  <c r="G39" i="13"/>
  <c r="E39" i="13"/>
  <c r="D39" i="13"/>
  <c r="C39" i="13"/>
  <c r="AL39" i="13" l="1"/>
  <c r="N40" i="13"/>
  <c r="O40" i="13" s="1"/>
  <c r="R51" i="13" s="1"/>
  <c r="AH39" i="13"/>
  <c r="AF39" i="13"/>
  <c r="AC39" i="13"/>
  <c r="AQ39" i="13"/>
  <c r="AP39" i="13"/>
  <c r="AO39" i="13"/>
  <c r="AN39" i="13"/>
  <c r="AM39" i="13"/>
  <c r="AR39" i="13"/>
  <c r="AJ39" i="11"/>
  <c r="AG39" i="11"/>
  <c r="AH39" i="11" s="1"/>
  <c r="AE39" i="11"/>
  <c r="AF39" i="11" s="1"/>
  <c r="AB39" i="11"/>
  <c r="Y39" i="11"/>
  <c r="X39" i="11"/>
  <c r="W39" i="11"/>
  <c r="V39" i="11"/>
  <c r="U39" i="11"/>
  <c r="T39" i="11"/>
  <c r="S39" i="11"/>
  <c r="G39" i="11"/>
  <c r="E39" i="11"/>
  <c r="D39" i="11"/>
  <c r="F39" i="11" s="1"/>
  <c r="C39" i="11"/>
  <c r="AJ66" i="9"/>
  <c r="AG66" i="9"/>
  <c r="AH66" i="9" s="1"/>
  <c r="AE66" i="9"/>
  <c r="AF66" i="9" s="1"/>
  <c r="AB66" i="9"/>
  <c r="Y66" i="9"/>
  <c r="X66" i="9"/>
  <c r="W66" i="9"/>
  <c r="V66" i="9"/>
  <c r="U66" i="9"/>
  <c r="T66" i="9"/>
  <c r="S66" i="9"/>
  <c r="G66" i="9"/>
  <c r="D66" i="9"/>
  <c r="F66" i="9" s="1"/>
  <c r="C66" i="9"/>
  <c r="P42" i="13" l="1"/>
  <c r="Q45" i="13"/>
  <c r="AN39" i="11"/>
  <c r="AO66" i="9"/>
  <c r="AR66" i="9"/>
  <c r="AL39" i="11"/>
  <c r="AR39" i="11"/>
  <c r="AN66" i="9"/>
  <c r="AI39" i="11"/>
  <c r="AM39" i="11"/>
  <c r="AM66" i="9"/>
  <c r="N67" i="9"/>
  <c r="O67" i="9" s="1"/>
  <c r="AP39" i="11"/>
  <c r="N40" i="11"/>
  <c r="O40" i="11" s="1"/>
  <c r="AQ66" i="9"/>
  <c r="AL66" i="9"/>
  <c r="AO39" i="11"/>
  <c r="AC39" i="11"/>
  <c r="AK39" i="11"/>
  <c r="AP66" i="9"/>
  <c r="AK39" i="13"/>
  <c r="AI39" i="13"/>
  <c r="F39" i="13"/>
  <c r="AQ39" i="11"/>
  <c r="AC66" i="9"/>
  <c r="AI66" i="9"/>
  <c r="AK66" i="9"/>
  <c r="Q45" i="11" l="1"/>
  <c r="R51" i="11"/>
  <c r="Q72" i="9"/>
  <c r="R78" i="9"/>
  <c r="P69" i="9"/>
  <c r="P42" i="11"/>
  <c r="AG93" i="7"/>
  <c r="AH93" i="7" s="1"/>
  <c r="AE93" i="7"/>
  <c r="AF93" i="7" s="1"/>
  <c r="AB93" i="7"/>
  <c r="AJ93" i="7" s="1"/>
  <c r="X93" i="7"/>
  <c r="W93" i="7"/>
  <c r="V93" i="7"/>
  <c r="U93" i="7"/>
  <c r="T93" i="7"/>
  <c r="S93" i="7"/>
  <c r="R93" i="7"/>
  <c r="F93" i="7"/>
  <c r="D93" i="7"/>
  <c r="M94" i="7" s="1"/>
  <c r="N94" i="7" s="1"/>
  <c r="Q105" i="7" s="1"/>
  <c r="C93" i="7"/>
  <c r="AD93" i="7" l="1"/>
  <c r="AC93" i="7"/>
  <c r="O96" i="7"/>
  <c r="P99" i="7"/>
  <c r="AI93" i="7"/>
  <c r="E93" i="7"/>
  <c r="AO93" i="7"/>
  <c r="AQ93" i="7"/>
  <c r="AP93" i="7"/>
  <c r="AL93" i="7"/>
  <c r="AR93" i="7"/>
  <c r="AM93" i="7"/>
  <c r="AK93" i="7"/>
  <c r="AN93" i="7"/>
  <c r="AH138" i="2" l="1"/>
  <c r="AE138" i="2"/>
  <c r="AB138" i="2"/>
  <c r="Y138" i="2"/>
  <c r="X138" i="2"/>
  <c r="W138" i="2"/>
  <c r="V138" i="2"/>
  <c r="U138" i="2"/>
  <c r="T138" i="2"/>
  <c r="S138" i="2"/>
  <c r="R138" i="2"/>
  <c r="F138" i="2"/>
  <c r="D138" i="2"/>
  <c r="M139" i="2" s="1"/>
  <c r="N139" i="2" s="1"/>
  <c r="Q150" i="2" s="1"/>
  <c r="C138" i="2"/>
  <c r="O141" i="2" l="1"/>
  <c r="P144" i="2"/>
  <c r="AF138" i="2"/>
  <c r="AQ138" i="2"/>
  <c r="AN138" i="2"/>
  <c r="AM138" i="2"/>
  <c r="AK138" i="2"/>
  <c r="AP138" i="2"/>
  <c r="AL181" i="1"/>
  <c r="AF181" i="1"/>
  <c r="AC181" i="1"/>
  <c r="AB181" i="1"/>
  <c r="AA181" i="1"/>
  <c r="Z181" i="1"/>
  <c r="Y181" i="1"/>
  <c r="X181" i="1"/>
  <c r="W181" i="1"/>
  <c r="V181" i="1"/>
  <c r="P181" i="1"/>
  <c r="I181" i="1"/>
  <c r="E181" i="1"/>
  <c r="C181" i="1"/>
  <c r="D181" i="1"/>
  <c r="H182" i="1" l="1"/>
  <c r="Q182" i="1"/>
  <c r="R182" i="1" s="1"/>
  <c r="S184" i="1" s="1"/>
  <c r="AL138" i="2"/>
  <c r="AG138" i="2"/>
  <c r="AO138" i="2"/>
  <c r="E138" i="2"/>
  <c r="AC138" i="2"/>
  <c r="AI138" i="2"/>
  <c r="AK181" i="1" l="1"/>
  <c r="AH181" i="1"/>
  <c r="AT181" i="1"/>
  <c r="AS181" i="1"/>
  <c r="AR181" i="1"/>
  <c r="AQ181" i="1"/>
  <c r="AP181" i="1"/>
  <c r="AO181" i="1"/>
  <c r="G181" i="1"/>
  <c r="AM181" i="1" l="1"/>
  <c r="AG181" i="1"/>
  <c r="AL180" i="1"/>
  <c r="AF180" i="1"/>
  <c r="AC180" i="1"/>
  <c r="AB180" i="1"/>
  <c r="AA180" i="1"/>
  <c r="AS180" i="1" s="1"/>
  <c r="Z180" i="1"/>
  <c r="Y180" i="1"/>
  <c r="X180" i="1"/>
  <c r="W180" i="1"/>
  <c r="V180" i="1"/>
  <c r="P180" i="1"/>
  <c r="I180" i="1"/>
  <c r="E180" i="1"/>
  <c r="AO180" i="1" s="1"/>
  <c r="D180" i="1"/>
  <c r="AH180" i="1"/>
  <c r="AP180" i="1"/>
  <c r="AR180" i="1"/>
  <c r="C180" i="1"/>
  <c r="AH137" i="2"/>
  <c r="AE137" i="2"/>
  <c r="AB137" i="2"/>
  <c r="Y137" i="2"/>
  <c r="AQ137" i="2" s="1"/>
  <c r="X137" i="2"/>
  <c r="AP137" i="2" s="1"/>
  <c r="W137" i="2"/>
  <c r="V137" i="2"/>
  <c r="U137" i="2"/>
  <c r="AM137" i="2" s="1"/>
  <c r="T137" i="2"/>
  <c r="S137" i="2"/>
  <c r="R137" i="2"/>
  <c r="F137" i="2"/>
  <c r="D137" i="2"/>
  <c r="M138" i="2" s="1"/>
  <c r="N138" i="2" s="1"/>
  <c r="AF137" i="2"/>
  <c r="AN137" i="2"/>
  <c r="AK137" i="2"/>
  <c r="C137" i="2"/>
  <c r="AG92" i="7"/>
  <c r="AE92" i="7"/>
  <c r="AF92" i="7" s="1"/>
  <c r="AB92" i="7"/>
  <c r="AD92" i="7" s="1"/>
  <c r="Y92" i="7"/>
  <c r="X92" i="7"/>
  <c r="AQ92" i="7" s="1"/>
  <c r="W92" i="7"/>
  <c r="AP92" i="7" s="1"/>
  <c r="V92" i="7"/>
  <c r="U92" i="7"/>
  <c r="T92" i="7"/>
  <c r="AM92" i="7" s="1"/>
  <c r="S92" i="7"/>
  <c r="R92" i="7"/>
  <c r="F92" i="7"/>
  <c r="D92" i="7"/>
  <c r="M93" i="7" s="1"/>
  <c r="N93" i="7" s="1"/>
  <c r="C92" i="7"/>
  <c r="AH92" i="7"/>
  <c r="AR92" i="7"/>
  <c r="AO92" i="7"/>
  <c r="AL92" i="7"/>
  <c r="AB38" i="11"/>
  <c r="Y38" i="11"/>
  <c r="X38" i="11"/>
  <c r="W38" i="11"/>
  <c r="V38" i="11"/>
  <c r="U38" i="11"/>
  <c r="T38" i="11"/>
  <c r="S38" i="11"/>
  <c r="G38" i="11"/>
  <c r="E38" i="11"/>
  <c r="D38" i="11"/>
  <c r="N39" i="11" s="1"/>
  <c r="O39" i="11" s="1"/>
  <c r="C38" i="11"/>
  <c r="C38" i="13"/>
  <c r="AJ38" i="13"/>
  <c r="AE38" i="13"/>
  <c r="AB38" i="13"/>
  <c r="X38" i="13"/>
  <c r="W38" i="13"/>
  <c r="V38" i="13"/>
  <c r="U38" i="13"/>
  <c r="T38" i="13"/>
  <c r="S38" i="13"/>
  <c r="G38" i="13"/>
  <c r="D38" i="13"/>
  <c r="N39" i="13" s="1"/>
  <c r="O39" i="13" s="1"/>
  <c r="R50" i="13" s="1"/>
  <c r="X5" i="14"/>
  <c r="W5" i="14"/>
  <c r="V5" i="14"/>
  <c r="U5" i="14"/>
  <c r="R49" i="11" l="1"/>
  <c r="R50" i="11"/>
  <c r="Q103" i="7"/>
  <c r="Q104" i="7"/>
  <c r="Q148" i="2"/>
  <c r="Q149" i="2"/>
  <c r="R48" i="13"/>
  <c r="R49" i="13"/>
  <c r="R47" i="11"/>
  <c r="R48" i="11"/>
  <c r="Q101" i="7"/>
  <c r="Q102" i="7"/>
  <c r="Q146" i="2"/>
  <c r="Q147" i="2"/>
  <c r="R46" i="13"/>
  <c r="R47" i="13"/>
  <c r="Q144" i="2"/>
  <c r="Q145" i="2"/>
  <c r="R45" i="11"/>
  <c r="R46" i="11"/>
  <c r="Q99" i="7"/>
  <c r="Q100" i="7"/>
  <c r="Q44" i="13"/>
  <c r="R45" i="13"/>
  <c r="Q44" i="11"/>
  <c r="P41" i="11"/>
  <c r="P143" i="2"/>
  <c r="O140" i="2"/>
  <c r="Q181" i="1"/>
  <c r="R181" i="1" s="1"/>
  <c r="S183" i="1" s="1"/>
  <c r="H181" i="1"/>
  <c r="AQ180" i="1"/>
  <c r="P98" i="7"/>
  <c r="O95" i="7"/>
  <c r="P41" i="13"/>
  <c r="AK180" i="1"/>
  <c r="AG180" i="1"/>
  <c r="AM180" i="1"/>
  <c r="AT180" i="1"/>
  <c r="G180" i="1"/>
  <c r="AL137" i="2"/>
  <c r="AG137" i="2"/>
  <c r="AO137" i="2"/>
  <c r="E137" i="2"/>
  <c r="AC137" i="2"/>
  <c r="AI137" i="2"/>
  <c r="AC92" i="7"/>
  <c r="AI92" i="7"/>
  <c r="AJ92" i="7"/>
  <c r="AK92" i="7" s="1"/>
  <c r="AN92" i="7"/>
  <c r="E92" i="7"/>
  <c r="AK5" i="14" l="1"/>
  <c r="AK4" i="14"/>
  <c r="AH5" i="14"/>
  <c r="AH4" i="14"/>
  <c r="AF5" i="14"/>
  <c r="AF4" i="14"/>
  <c r="AE2" i="14"/>
  <c r="AG49" i="14" l="1"/>
  <c r="AG48" i="14"/>
  <c r="AG47" i="14"/>
  <c r="AG46" i="14"/>
  <c r="AG45" i="14"/>
  <c r="AG40" i="14"/>
  <c r="AG41" i="14"/>
  <c r="AG39" i="14"/>
  <c r="AG44" i="14"/>
  <c r="AG42" i="14"/>
  <c r="AG43" i="14"/>
  <c r="AG38" i="14"/>
  <c r="AG37" i="14"/>
  <c r="AG36" i="14"/>
  <c r="AG33" i="14"/>
  <c r="AG35" i="14"/>
  <c r="AG34" i="14"/>
  <c r="AG32" i="14"/>
  <c r="AG31" i="14"/>
  <c r="AG30" i="14"/>
  <c r="AG29" i="14"/>
  <c r="AG28" i="14"/>
  <c r="AG24" i="14"/>
  <c r="AG27" i="14"/>
  <c r="AG25" i="14"/>
  <c r="AG26" i="14"/>
  <c r="AG23" i="14"/>
  <c r="AG22" i="14"/>
  <c r="AG19" i="14"/>
  <c r="AG20" i="14"/>
  <c r="AG21" i="14"/>
  <c r="AG17" i="14"/>
  <c r="AG18" i="14"/>
  <c r="AG16" i="14"/>
  <c r="AG15" i="14"/>
  <c r="AG14" i="14"/>
  <c r="AG13" i="14"/>
  <c r="AG12" i="14"/>
  <c r="AE48" i="14"/>
  <c r="AE49" i="14"/>
  <c r="AE47" i="14"/>
  <c r="AE46" i="14"/>
  <c r="AE45" i="14"/>
  <c r="AE40" i="14"/>
  <c r="AE39" i="14"/>
  <c r="AE41" i="14"/>
  <c r="AE44" i="14"/>
  <c r="AE43" i="14"/>
  <c r="AE42" i="14"/>
  <c r="AE38" i="14"/>
  <c r="AE37" i="14"/>
  <c r="AE36" i="14"/>
  <c r="AE35" i="14"/>
  <c r="AE34" i="14"/>
  <c r="AE33" i="14"/>
  <c r="AE28" i="14"/>
  <c r="AE32" i="14"/>
  <c r="AE31" i="14"/>
  <c r="AE30" i="14"/>
  <c r="AE29" i="14"/>
  <c r="AE27" i="14"/>
  <c r="AE25" i="14"/>
  <c r="AE26" i="14"/>
  <c r="AE24" i="14"/>
  <c r="AE23" i="14"/>
  <c r="AE22" i="14"/>
  <c r="AE21" i="14"/>
  <c r="AE19" i="14"/>
  <c r="AE20" i="14"/>
  <c r="AE18" i="14"/>
  <c r="AE17" i="14"/>
  <c r="AE16" i="14"/>
  <c r="AE15" i="14"/>
  <c r="AE14" i="14"/>
  <c r="AE13" i="14"/>
  <c r="AE12" i="14"/>
  <c r="AI49" i="14"/>
  <c r="AI48" i="14"/>
  <c r="AI47" i="14"/>
  <c r="AI46" i="14"/>
  <c r="AI45" i="14"/>
  <c r="AI44" i="14"/>
  <c r="AI42" i="14"/>
  <c r="AI40" i="14"/>
  <c r="AI43" i="14"/>
  <c r="AI41" i="14"/>
  <c r="AI39" i="14"/>
  <c r="AI38" i="14"/>
  <c r="AI37" i="14"/>
  <c r="AI36" i="14"/>
  <c r="AI35" i="14"/>
  <c r="AI34" i="14"/>
  <c r="AI33" i="14"/>
  <c r="AI29" i="14"/>
  <c r="AI28" i="14"/>
  <c r="AI31" i="14"/>
  <c r="AI32" i="14"/>
  <c r="AI30" i="14"/>
  <c r="AI27" i="14"/>
  <c r="AI24" i="14"/>
  <c r="AI25" i="14"/>
  <c r="AI26" i="14"/>
  <c r="AI23" i="14"/>
  <c r="AI19" i="14"/>
  <c r="AI20" i="14"/>
  <c r="AI21" i="14"/>
  <c r="AI22" i="14"/>
  <c r="AI17" i="14"/>
  <c r="AI18" i="14"/>
  <c r="AI16" i="14"/>
  <c r="AI15" i="14"/>
  <c r="AI14" i="14"/>
  <c r="AI13" i="14"/>
  <c r="AI12" i="14"/>
  <c r="AE11" i="14"/>
  <c r="AE10" i="14"/>
  <c r="AE9" i="14"/>
  <c r="AE8" i="14"/>
  <c r="AE7" i="14"/>
  <c r="AE6" i="14"/>
  <c r="AI11" i="14"/>
  <c r="AI10" i="14"/>
  <c r="AI9" i="14"/>
  <c r="AI8" i="14"/>
  <c r="AI7" i="14"/>
  <c r="AI6" i="14"/>
  <c r="AG11" i="14"/>
  <c r="AG10" i="14"/>
  <c r="AG9" i="14"/>
  <c r="AG8" i="14"/>
  <c r="AG7" i="14"/>
  <c r="AG6" i="14"/>
  <c r="Z5" i="14"/>
  <c r="AA5" i="14" s="1"/>
  <c r="AA6" i="14" s="1"/>
  <c r="Y5" i="14"/>
  <c r="T5" i="14"/>
  <c r="G5" i="14"/>
  <c r="E5" i="14"/>
  <c r="AA7" i="14" l="1"/>
  <c r="D5" i="14"/>
  <c r="N6" i="14" s="1"/>
  <c r="O6" i="14" s="1"/>
  <c r="C5" i="14"/>
  <c r="D4" i="14"/>
  <c r="C4" i="14"/>
  <c r="F49" i="14" l="1"/>
  <c r="F48" i="14"/>
  <c r="F47" i="14"/>
  <c r="F46" i="14"/>
  <c r="F45" i="14"/>
  <c r="F44" i="14"/>
  <c r="F42" i="14"/>
  <c r="F39" i="14"/>
  <c r="F43" i="14"/>
  <c r="F41" i="14"/>
  <c r="F40" i="14"/>
  <c r="F38" i="14"/>
  <c r="F37" i="14"/>
  <c r="F36" i="14"/>
  <c r="F33" i="14"/>
  <c r="F35" i="14"/>
  <c r="F34" i="14"/>
  <c r="F30" i="14"/>
  <c r="F28" i="14"/>
  <c r="F29" i="14"/>
  <c r="F31" i="14"/>
  <c r="F32" i="14"/>
  <c r="F27" i="14"/>
  <c r="F25" i="14"/>
  <c r="F26" i="14"/>
  <c r="F24" i="14"/>
  <c r="F23" i="14"/>
  <c r="F20" i="14"/>
  <c r="F19" i="14"/>
  <c r="F21" i="14"/>
  <c r="F22" i="14"/>
  <c r="F18" i="14"/>
  <c r="F17" i="14"/>
  <c r="F16" i="14"/>
  <c r="F15" i="14"/>
  <c r="F14" i="14"/>
  <c r="F13" i="14"/>
  <c r="F12" i="14"/>
  <c r="R17" i="14"/>
  <c r="P8" i="14"/>
  <c r="Q11" i="14"/>
  <c r="N5" i="14"/>
  <c r="F11" i="14"/>
  <c r="F10" i="14"/>
  <c r="F9" i="14"/>
  <c r="F8" i="14"/>
  <c r="F7" i="14"/>
  <c r="F6" i="14"/>
  <c r="AB7" i="14"/>
  <c r="AA8" i="14"/>
  <c r="AB6" i="14"/>
  <c r="F5" i="14"/>
  <c r="AC4" i="14"/>
  <c r="AD48" i="14" l="1"/>
  <c r="AD49" i="14"/>
  <c r="AD47" i="14"/>
  <c r="AD46" i="14"/>
  <c r="AD45" i="14"/>
  <c r="AD43" i="14"/>
  <c r="AD41" i="14"/>
  <c r="AD39" i="14"/>
  <c r="AD44" i="14"/>
  <c r="AD40" i="14"/>
  <c r="AD42" i="14"/>
  <c r="AD38" i="14"/>
  <c r="AD37" i="14"/>
  <c r="AD36" i="14"/>
  <c r="AD35" i="14"/>
  <c r="AD34" i="14"/>
  <c r="AD33" i="14"/>
  <c r="AD29" i="14"/>
  <c r="AD28" i="14"/>
  <c r="AD32" i="14"/>
  <c r="AD31" i="14"/>
  <c r="AD30" i="14"/>
  <c r="AD26" i="14"/>
  <c r="AD27" i="14"/>
  <c r="AD24" i="14"/>
  <c r="AD25" i="14"/>
  <c r="AD23" i="14"/>
  <c r="AD21" i="14"/>
  <c r="AD22" i="14"/>
  <c r="AD20" i="14"/>
  <c r="AD19" i="14"/>
  <c r="AD18" i="14"/>
  <c r="AD17" i="14"/>
  <c r="AD16" i="14"/>
  <c r="AD15" i="14"/>
  <c r="AD14" i="14"/>
  <c r="AD13" i="14"/>
  <c r="AD12" i="14"/>
  <c r="AB8" i="14"/>
  <c r="AA9" i="14"/>
  <c r="AA10" i="14" s="1"/>
  <c r="AA11" i="14" s="1"/>
  <c r="AA12" i="14" s="1"/>
  <c r="AA13" i="14" s="1"/>
  <c r="AA14" i="14" s="1"/>
  <c r="AA15" i="14" s="1"/>
  <c r="AA16" i="14" s="1"/>
  <c r="AA17" i="14" s="1"/>
  <c r="AA18" i="14" s="1"/>
  <c r="AA19" i="14" s="1"/>
  <c r="AD11" i="14"/>
  <c r="AD10" i="14"/>
  <c r="AD9" i="14"/>
  <c r="AD8" i="14"/>
  <c r="AD7" i="14"/>
  <c r="AD6" i="14"/>
  <c r="AC5" i="14"/>
  <c r="AE4" i="14"/>
  <c r="AB9" i="14" l="1"/>
  <c r="AJ5" i="14"/>
  <c r="AE5" i="14"/>
  <c r="A5" i="14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O5" i="14"/>
  <c r="AB5" i="14"/>
  <c r="AD5" i="14"/>
  <c r="AG5" i="14"/>
  <c r="AI5" i="14"/>
  <c r="AL5" i="14"/>
  <c r="AM5" i="14"/>
  <c r="AN5" i="14"/>
  <c r="AO5" i="14"/>
  <c r="AP5" i="14"/>
  <c r="AQ5" i="14"/>
  <c r="AR5" i="14"/>
  <c r="AS5" i="14"/>
  <c r="AL4" i="14"/>
  <c r="AJ4" i="14"/>
  <c r="AI4" i="14"/>
  <c r="AG4" i="14"/>
  <c r="AD4" i="14"/>
  <c r="F4" i="14"/>
  <c r="AG38" i="13"/>
  <c r="AH38" i="13" s="1"/>
  <c r="AM38" i="13"/>
  <c r="AL38" i="13"/>
  <c r="E38" i="13"/>
  <c r="AF38" i="13"/>
  <c r="AQ38" i="13"/>
  <c r="AP38" i="13"/>
  <c r="AO38" i="13"/>
  <c r="AN38" i="13"/>
  <c r="AR38" i="13"/>
  <c r="AJ38" i="11"/>
  <c r="AG38" i="11"/>
  <c r="AH38" i="11" s="1"/>
  <c r="AE38" i="11"/>
  <c r="AF38" i="11" s="1"/>
  <c r="AQ38" i="11"/>
  <c r="AP38" i="11"/>
  <c r="AO38" i="11"/>
  <c r="AN38" i="11"/>
  <c r="AI38" i="11"/>
  <c r="AM38" i="11"/>
  <c r="AL38" i="11"/>
  <c r="AJ65" i="9"/>
  <c r="AG65" i="9"/>
  <c r="AE65" i="9"/>
  <c r="AB65" i="9"/>
  <c r="Y65" i="9"/>
  <c r="X65" i="9"/>
  <c r="W65" i="9"/>
  <c r="V65" i="9"/>
  <c r="U65" i="9"/>
  <c r="T65" i="9"/>
  <c r="S65" i="9"/>
  <c r="G65" i="9"/>
  <c r="D65" i="9"/>
  <c r="N66" i="9" s="1"/>
  <c r="O66" i="9" s="1"/>
  <c r="C65" i="9"/>
  <c r="R16" i="14" l="1"/>
  <c r="Q10" i="14"/>
  <c r="P7" i="14"/>
  <c r="R76" i="9"/>
  <c r="R77" i="9"/>
  <c r="R74" i="9"/>
  <c r="R75" i="9"/>
  <c r="R72" i="9"/>
  <c r="R73" i="9"/>
  <c r="Q71" i="9"/>
  <c r="P68" i="9"/>
  <c r="AB10" i="14"/>
  <c r="AR38" i="11"/>
  <c r="AC38" i="13"/>
  <c r="AI38" i="13"/>
  <c r="F38" i="13"/>
  <c r="AK38" i="13"/>
  <c r="F38" i="11"/>
  <c r="AK38" i="11"/>
  <c r="AC38" i="11"/>
  <c r="AJ37" i="13"/>
  <c r="AG37" i="13"/>
  <c r="AH37" i="13" s="1"/>
  <c r="AE37" i="13"/>
  <c r="AB37" i="13"/>
  <c r="X37" i="13"/>
  <c r="W37" i="13"/>
  <c r="V37" i="13"/>
  <c r="U37" i="13"/>
  <c r="T37" i="13"/>
  <c r="S37" i="13"/>
  <c r="G37" i="13"/>
  <c r="E37" i="13"/>
  <c r="D37" i="13"/>
  <c r="C37" i="13"/>
  <c r="AF37" i="13"/>
  <c r="AJ37" i="11"/>
  <c r="AK37" i="11" s="1"/>
  <c r="AG37" i="11"/>
  <c r="AE37" i="11"/>
  <c r="AF37" i="11" s="1"/>
  <c r="AB37" i="11"/>
  <c r="AI37" i="11" s="1"/>
  <c r="Y37" i="11"/>
  <c r="AR37" i="11" s="1"/>
  <c r="X37" i="11"/>
  <c r="W37" i="11"/>
  <c r="AP37" i="11" s="1"/>
  <c r="V37" i="11"/>
  <c r="U37" i="11"/>
  <c r="T37" i="11"/>
  <c r="S37" i="11"/>
  <c r="AL37" i="11" s="1"/>
  <c r="G37" i="11"/>
  <c r="E37" i="11"/>
  <c r="D37" i="11"/>
  <c r="N38" i="11" s="1"/>
  <c r="O38" i="11" s="1"/>
  <c r="C37" i="11"/>
  <c r="AO37" i="11"/>
  <c r="AH37" i="11"/>
  <c r="AQ37" i="11"/>
  <c r="AN37" i="11"/>
  <c r="AM37" i="11"/>
  <c r="F37" i="11"/>
  <c r="AQ65" i="9"/>
  <c r="AN65" i="9"/>
  <c r="AL65" i="9"/>
  <c r="AH65" i="9"/>
  <c r="AF65" i="9"/>
  <c r="AC65" i="9"/>
  <c r="AO65" i="9"/>
  <c r="AK65" i="9"/>
  <c r="AG91" i="7"/>
  <c r="AH91" i="7" s="1"/>
  <c r="AE91" i="7"/>
  <c r="AB91" i="7"/>
  <c r="Y91" i="7"/>
  <c r="AR91" i="7" s="1"/>
  <c r="X91" i="7"/>
  <c r="W91" i="7"/>
  <c r="V91" i="7"/>
  <c r="U91" i="7"/>
  <c r="T91" i="7"/>
  <c r="S91" i="7"/>
  <c r="R91" i="7"/>
  <c r="F91" i="7"/>
  <c r="D91" i="7"/>
  <c r="C91" i="7"/>
  <c r="AF91" i="7"/>
  <c r="AJ91" i="7"/>
  <c r="AH136" i="2"/>
  <c r="AE136" i="2"/>
  <c r="AF136" i="2" s="1"/>
  <c r="AB136" i="2"/>
  <c r="AG136" i="2" s="1"/>
  <c r="Y136" i="2"/>
  <c r="X136" i="2"/>
  <c r="W136" i="2"/>
  <c r="AO136" i="2" s="1"/>
  <c r="V136" i="2"/>
  <c r="U136" i="2"/>
  <c r="T136" i="2"/>
  <c r="AL136" i="2" s="1"/>
  <c r="S136" i="2"/>
  <c r="R136" i="2"/>
  <c r="F136" i="2"/>
  <c r="D136" i="2"/>
  <c r="M137" i="2" s="1"/>
  <c r="N137" i="2" s="1"/>
  <c r="AM136" i="2"/>
  <c r="AP136" i="2"/>
  <c r="E136" i="2"/>
  <c r="C136" i="2"/>
  <c r="W179" i="1"/>
  <c r="AL179" i="1"/>
  <c r="AF179" i="1"/>
  <c r="AC179" i="1"/>
  <c r="AB179" i="1"/>
  <c r="AA179" i="1"/>
  <c r="Z179" i="1"/>
  <c r="Y179" i="1"/>
  <c r="X179" i="1"/>
  <c r="V179" i="1"/>
  <c r="P179" i="1"/>
  <c r="I179" i="1"/>
  <c r="E179" i="1"/>
  <c r="D179" i="1"/>
  <c r="C179" i="1"/>
  <c r="AB11" i="14" l="1"/>
  <c r="H180" i="1"/>
  <c r="Q180" i="1"/>
  <c r="R180" i="1" s="1"/>
  <c r="S182" i="1" s="1"/>
  <c r="AQ91" i="7"/>
  <c r="M92" i="7"/>
  <c r="N92" i="7" s="1"/>
  <c r="E91" i="7"/>
  <c r="AO91" i="7"/>
  <c r="AP91" i="7"/>
  <c r="AC37" i="11"/>
  <c r="Q43" i="11"/>
  <c r="P40" i="11"/>
  <c r="P142" i="2"/>
  <c r="O139" i="2"/>
  <c r="AN136" i="2"/>
  <c r="AM37" i="13"/>
  <c r="AL37" i="13"/>
  <c r="N38" i="13"/>
  <c r="O38" i="13" s="1"/>
  <c r="AO37" i="13"/>
  <c r="AP37" i="13"/>
  <c r="AQ37" i="13"/>
  <c r="AQ136" i="2"/>
  <c r="F37" i="13"/>
  <c r="AK37" i="13"/>
  <c r="AR37" i="13"/>
  <c r="AN37" i="13"/>
  <c r="AC37" i="13"/>
  <c r="AI37" i="13"/>
  <c r="AR65" i="9"/>
  <c r="AM65" i="9"/>
  <c r="AI65" i="9"/>
  <c r="F65" i="9"/>
  <c r="AP65" i="9"/>
  <c r="AL91" i="7"/>
  <c r="AN91" i="7"/>
  <c r="AM91" i="7"/>
  <c r="AK91" i="7"/>
  <c r="AC91" i="7"/>
  <c r="AI91" i="7"/>
  <c r="AD91" i="7"/>
  <c r="AK136" i="2"/>
  <c r="AC136" i="2"/>
  <c r="AI136" i="2"/>
  <c r="AP179" i="1"/>
  <c r="AG179" i="1"/>
  <c r="AH179" i="1"/>
  <c r="AS179" i="1"/>
  <c r="AO179" i="1"/>
  <c r="AB12" i="14" l="1"/>
  <c r="P40" i="13"/>
  <c r="Q43" i="13"/>
  <c r="P97" i="7"/>
  <c r="O94" i="7"/>
  <c r="AR179" i="1"/>
  <c r="AM179" i="1"/>
  <c r="AT179" i="1"/>
  <c r="AQ179" i="1"/>
  <c r="G179" i="1"/>
  <c r="AK179" i="1"/>
  <c r="AJ31" i="13"/>
  <c r="AJ32" i="13"/>
  <c r="AJ33" i="13"/>
  <c r="AJ34" i="13"/>
  <c r="AE34" i="13"/>
  <c r="AB34" i="13"/>
  <c r="V31" i="13"/>
  <c r="V32" i="13"/>
  <c r="V33" i="13"/>
  <c r="S31" i="13"/>
  <c r="S32" i="13"/>
  <c r="S33" i="13"/>
  <c r="U31" i="13"/>
  <c r="U32" i="13"/>
  <c r="U33" i="13"/>
  <c r="T29" i="13"/>
  <c r="T30" i="13"/>
  <c r="T31" i="13"/>
  <c r="T32" i="13"/>
  <c r="T33" i="13"/>
  <c r="W36" i="13"/>
  <c r="W35" i="13"/>
  <c r="W34" i="13"/>
  <c r="V34" i="13"/>
  <c r="U34" i="13"/>
  <c r="T34" i="13"/>
  <c r="S34" i="13"/>
  <c r="G34" i="13"/>
  <c r="D34" i="13"/>
  <c r="C34" i="13"/>
  <c r="AJ36" i="13"/>
  <c r="AK36" i="13" s="1"/>
  <c r="AG36" i="13"/>
  <c r="AE36" i="13"/>
  <c r="AF36" i="13" s="1"/>
  <c r="AB36" i="13"/>
  <c r="AI36" i="13" s="1"/>
  <c r="X36" i="13"/>
  <c r="AQ36" i="13" s="1"/>
  <c r="V36" i="13"/>
  <c r="U36" i="13"/>
  <c r="AN36" i="13" s="1"/>
  <c r="T36" i="13"/>
  <c r="AM36" i="13" s="1"/>
  <c r="S36" i="13"/>
  <c r="G36" i="13"/>
  <c r="E36" i="13"/>
  <c r="D36" i="13"/>
  <c r="N37" i="13" s="1"/>
  <c r="O37" i="13" s="1"/>
  <c r="C36" i="13"/>
  <c r="AH36" i="13"/>
  <c r="AO36" i="13"/>
  <c r="F36" i="13"/>
  <c r="C34" i="11"/>
  <c r="C35" i="11"/>
  <c r="AJ36" i="11"/>
  <c r="AG36" i="11"/>
  <c r="AE36" i="11"/>
  <c r="AF36" i="11" s="1"/>
  <c r="AB36" i="11"/>
  <c r="Y36" i="11"/>
  <c r="AR36" i="11" s="1"/>
  <c r="X36" i="11"/>
  <c r="AQ36" i="11" s="1"/>
  <c r="W36" i="11"/>
  <c r="V36" i="11"/>
  <c r="U36" i="11"/>
  <c r="AN36" i="11" s="1"/>
  <c r="T36" i="11"/>
  <c r="S36" i="11"/>
  <c r="G36" i="11"/>
  <c r="E36" i="11"/>
  <c r="D36" i="11"/>
  <c r="N37" i="11" s="1"/>
  <c r="O37" i="11" s="1"/>
  <c r="C36" i="11"/>
  <c r="AH36" i="11"/>
  <c r="AP36" i="11"/>
  <c r="AO36" i="11"/>
  <c r="AL36" i="11"/>
  <c r="AK36" i="11"/>
  <c r="X62" i="9"/>
  <c r="X64" i="9"/>
  <c r="X63" i="9"/>
  <c r="AJ64" i="9"/>
  <c r="AG64" i="9"/>
  <c r="AE64" i="9"/>
  <c r="AF64" i="9" s="1"/>
  <c r="AB64" i="9"/>
  <c r="Y64" i="9"/>
  <c r="W64" i="9"/>
  <c r="V64" i="9"/>
  <c r="AO64" i="9" s="1"/>
  <c r="U64" i="9"/>
  <c r="T64" i="9"/>
  <c r="S64" i="9"/>
  <c r="AL64" i="9" s="1"/>
  <c r="G64" i="9"/>
  <c r="D64" i="9"/>
  <c r="N65" i="9" s="1"/>
  <c r="O65" i="9" s="1"/>
  <c r="C64" i="9"/>
  <c r="AH64" i="9"/>
  <c r="AP64" i="9"/>
  <c r="AK64" i="9"/>
  <c r="AJ62" i="9"/>
  <c r="AG62" i="9"/>
  <c r="AE62" i="9"/>
  <c r="AB62" i="9"/>
  <c r="Y62" i="9"/>
  <c r="W62" i="9"/>
  <c r="V62" i="9"/>
  <c r="U62" i="9"/>
  <c r="T62" i="9"/>
  <c r="S62" i="9"/>
  <c r="G62" i="9"/>
  <c r="D62" i="9"/>
  <c r="C62" i="9"/>
  <c r="AG90" i="7"/>
  <c r="AE90" i="7"/>
  <c r="AF90" i="7" s="1"/>
  <c r="AB90" i="7"/>
  <c r="Y90" i="7"/>
  <c r="AR90" i="7" s="1"/>
  <c r="X90" i="7"/>
  <c r="AQ90" i="7" s="1"/>
  <c r="W90" i="7"/>
  <c r="V90" i="7"/>
  <c r="U90" i="7"/>
  <c r="T90" i="7"/>
  <c r="S90" i="7"/>
  <c r="AL90" i="7" s="1"/>
  <c r="R90" i="7"/>
  <c r="F90" i="7"/>
  <c r="D90" i="7"/>
  <c r="M91" i="7" s="1"/>
  <c r="N91" i="7" s="1"/>
  <c r="C90" i="7"/>
  <c r="AH90" i="7"/>
  <c r="AJ90" i="7"/>
  <c r="AO90" i="7"/>
  <c r="AN90" i="7"/>
  <c r="T88" i="7"/>
  <c r="AE88" i="7"/>
  <c r="AB88" i="7"/>
  <c r="Y88" i="7"/>
  <c r="X88" i="7"/>
  <c r="W88" i="7"/>
  <c r="V88" i="7"/>
  <c r="U88" i="7"/>
  <c r="S88" i="7"/>
  <c r="R88" i="7"/>
  <c r="F88" i="7"/>
  <c r="D88" i="7"/>
  <c r="C88" i="7"/>
  <c r="AH135" i="2"/>
  <c r="AE135" i="2"/>
  <c r="AF135" i="2" s="1"/>
  <c r="AB135" i="2"/>
  <c r="Y135" i="2"/>
  <c r="X135" i="2"/>
  <c r="AP135" i="2" s="1"/>
  <c r="W135" i="2"/>
  <c r="V135" i="2"/>
  <c r="U135" i="2"/>
  <c r="T135" i="2"/>
  <c r="S135" i="2"/>
  <c r="R135" i="2"/>
  <c r="F135" i="2"/>
  <c r="D135" i="2"/>
  <c r="M136" i="2" s="1"/>
  <c r="N136" i="2" s="1"/>
  <c r="C135" i="2"/>
  <c r="D133" i="2"/>
  <c r="D134" i="2"/>
  <c r="C133" i="2"/>
  <c r="M135" i="2"/>
  <c r="N135" i="2" s="1"/>
  <c r="AL178" i="1"/>
  <c r="AF178" i="1"/>
  <c r="AH178" i="1" s="1"/>
  <c r="AC178" i="1"/>
  <c r="AB178" i="1"/>
  <c r="AT178" i="1" s="1"/>
  <c r="AA178" i="1"/>
  <c r="Z178" i="1"/>
  <c r="Y178" i="1"/>
  <c r="X178" i="1"/>
  <c r="V178" i="1"/>
  <c r="P178" i="1"/>
  <c r="I178" i="1"/>
  <c r="E178" i="1"/>
  <c r="AP178" i="1" s="1"/>
  <c r="D178" i="1"/>
  <c r="W178" i="1"/>
  <c r="G178" i="1"/>
  <c r="AB13" i="14" l="1"/>
  <c r="P140" i="2"/>
  <c r="O137" i="2"/>
  <c r="Q70" i="9"/>
  <c r="P67" i="9"/>
  <c r="O138" i="2"/>
  <c r="P141" i="2"/>
  <c r="AN135" i="2"/>
  <c r="AM90" i="7"/>
  <c r="AR64" i="9"/>
  <c r="AQ64" i="9"/>
  <c r="AM36" i="11"/>
  <c r="AL36" i="13"/>
  <c r="AP36" i="13"/>
  <c r="H179" i="1"/>
  <c r="Q179" i="1"/>
  <c r="R179" i="1" s="1"/>
  <c r="S181" i="1" s="1"/>
  <c r="AR178" i="1"/>
  <c r="P96" i="7"/>
  <c r="O93" i="7"/>
  <c r="AM64" i="9"/>
  <c r="P39" i="11"/>
  <c r="Q42" i="11"/>
  <c r="AS178" i="1"/>
  <c r="AP90" i="7"/>
  <c r="AN64" i="9"/>
  <c r="P39" i="13"/>
  <c r="Q42" i="13"/>
  <c r="AR36" i="13"/>
  <c r="AQ135" i="2"/>
  <c r="AC36" i="13"/>
  <c r="AC36" i="11"/>
  <c r="AI36" i="11"/>
  <c r="F36" i="11"/>
  <c r="AC64" i="9"/>
  <c r="AI64" i="9"/>
  <c r="F64" i="9"/>
  <c r="E90" i="7"/>
  <c r="AC90" i="7"/>
  <c r="AI90" i="7"/>
  <c r="AD90" i="7"/>
  <c r="AK90" i="7"/>
  <c r="AK135" i="2"/>
  <c r="AM135" i="2"/>
  <c r="AL135" i="2"/>
  <c r="AG135" i="2"/>
  <c r="AO135" i="2"/>
  <c r="E135" i="2"/>
  <c r="AC135" i="2"/>
  <c r="AI135" i="2"/>
  <c r="AM178" i="1"/>
  <c r="AO178" i="1"/>
  <c r="AQ178" i="1"/>
  <c r="AK178" i="1"/>
  <c r="AG178" i="1"/>
  <c r="AL177" i="1"/>
  <c r="AF177" i="1"/>
  <c r="AC177" i="1"/>
  <c r="AB177" i="1"/>
  <c r="AA177" i="1"/>
  <c r="Z177" i="1"/>
  <c r="Y177" i="1"/>
  <c r="X177" i="1"/>
  <c r="W177" i="1"/>
  <c r="V177" i="1"/>
  <c r="D177" i="1"/>
  <c r="D176" i="1"/>
  <c r="AB14" i="14" l="1"/>
  <c r="AH177" i="1"/>
  <c r="AG177" i="1"/>
  <c r="AB15" i="14" l="1"/>
  <c r="I176" i="1"/>
  <c r="I177" i="1"/>
  <c r="E176" i="1"/>
  <c r="E177" i="1"/>
  <c r="AJ35" i="13"/>
  <c r="AG35" i="13"/>
  <c r="AE35" i="13"/>
  <c r="AB35" i="13"/>
  <c r="X35" i="13"/>
  <c r="V35" i="13"/>
  <c r="U35" i="13"/>
  <c r="T35" i="13"/>
  <c r="S35" i="13"/>
  <c r="G35" i="13"/>
  <c r="E35" i="13"/>
  <c r="D35" i="13"/>
  <c r="C35" i="13"/>
  <c r="AH35" i="13"/>
  <c r="AF35" i="13"/>
  <c r="AB16" i="14" l="1"/>
  <c r="Q178" i="1"/>
  <c r="R178" i="1" s="1"/>
  <c r="S180" i="1" s="1"/>
  <c r="AR177" i="1"/>
  <c r="AQ177" i="1"/>
  <c r="AS177" i="1"/>
  <c r="H178" i="1"/>
  <c r="AO177" i="1"/>
  <c r="AT177" i="1"/>
  <c r="AP177" i="1"/>
  <c r="AK177" i="1"/>
  <c r="AM177" i="1"/>
  <c r="AL35" i="13"/>
  <c r="AQ35" i="13"/>
  <c r="N36" i="13"/>
  <c r="O36" i="13" s="1"/>
  <c r="AO35" i="13"/>
  <c r="AM35" i="13"/>
  <c r="AC35" i="13"/>
  <c r="AN35" i="13"/>
  <c r="AK35" i="13"/>
  <c r="AP35" i="13"/>
  <c r="AR35" i="13"/>
  <c r="AI35" i="13"/>
  <c r="F35" i="13"/>
  <c r="AB17" i="14" l="1"/>
  <c r="P38" i="13"/>
  <c r="Q41" i="13"/>
  <c r="Y35" i="11"/>
  <c r="AR35" i="11" s="1"/>
  <c r="AJ35" i="11"/>
  <c r="AG35" i="11"/>
  <c r="AE35" i="11"/>
  <c r="AF35" i="11" s="1"/>
  <c r="AB35" i="11"/>
  <c r="X35" i="11"/>
  <c r="AQ35" i="11" s="1"/>
  <c r="W35" i="11"/>
  <c r="AP35" i="11" s="1"/>
  <c r="V35" i="11"/>
  <c r="U35" i="11"/>
  <c r="T35" i="11"/>
  <c r="AM35" i="11" s="1"/>
  <c r="S35" i="11"/>
  <c r="G35" i="11"/>
  <c r="E35" i="11"/>
  <c r="D35" i="11"/>
  <c r="AH35" i="11"/>
  <c r="AL35" i="11"/>
  <c r="Y63" i="9"/>
  <c r="AJ63" i="9"/>
  <c r="AG63" i="9"/>
  <c r="AH63" i="9" s="1"/>
  <c r="AE63" i="9"/>
  <c r="AF63" i="9" s="1"/>
  <c r="AB63" i="9"/>
  <c r="W63" i="9"/>
  <c r="V63" i="9"/>
  <c r="U63" i="9"/>
  <c r="T63" i="9"/>
  <c r="S63" i="9"/>
  <c r="G63" i="9"/>
  <c r="D63" i="9"/>
  <c r="AK63" i="9" s="1"/>
  <c r="C63" i="9"/>
  <c r="AB18" i="14" l="1"/>
  <c r="AN35" i="11"/>
  <c r="N36" i="11"/>
  <c r="O36" i="11" s="1"/>
  <c r="AO35" i="11"/>
  <c r="AM63" i="9"/>
  <c r="N64" i="9"/>
  <c r="O64" i="9" s="1"/>
  <c r="AP63" i="9"/>
  <c r="AQ63" i="9"/>
  <c r="AO63" i="9"/>
  <c r="AR63" i="9"/>
  <c r="AL63" i="9"/>
  <c r="AC35" i="11"/>
  <c r="AI35" i="11"/>
  <c r="F35" i="11"/>
  <c r="AK35" i="11"/>
  <c r="AN63" i="9"/>
  <c r="AC63" i="9"/>
  <c r="AI63" i="9"/>
  <c r="F63" i="9"/>
  <c r="Y89" i="7"/>
  <c r="AG89" i="7"/>
  <c r="AH89" i="7" s="1"/>
  <c r="AE89" i="7"/>
  <c r="AF89" i="7" s="1"/>
  <c r="AB89" i="7"/>
  <c r="X89" i="7"/>
  <c r="W89" i="7"/>
  <c r="AP89" i="7" s="1"/>
  <c r="V89" i="7"/>
  <c r="U89" i="7"/>
  <c r="T89" i="7"/>
  <c r="AM89" i="7" s="1"/>
  <c r="S89" i="7"/>
  <c r="R89" i="7"/>
  <c r="F89" i="7"/>
  <c r="D89" i="7"/>
  <c r="M90" i="7" s="1"/>
  <c r="N90" i="7" s="1"/>
  <c r="C89" i="7"/>
  <c r="AJ89" i="7"/>
  <c r="AK89" i="7" s="1"/>
  <c r="AD89" i="7"/>
  <c r="AI89" i="7"/>
  <c r="AN89" i="7"/>
  <c r="E89" i="7"/>
  <c r="AH134" i="2"/>
  <c r="AE134" i="2"/>
  <c r="AB134" i="2"/>
  <c r="AC134" i="2" s="1"/>
  <c r="Y134" i="2"/>
  <c r="X134" i="2"/>
  <c r="W134" i="2"/>
  <c r="V134" i="2"/>
  <c r="U134" i="2"/>
  <c r="AM134" i="2" s="1"/>
  <c r="T134" i="2"/>
  <c r="AL134" i="2" s="1"/>
  <c r="S134" i="2"/>
  <c r="R134" i="2"/>
  <c r="F134" i="2"/>
  <c r="C134" i="2"/>
  <c r="AF134" i="2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G177" i="1"/>
  <c r="AB19" i="14" l="1"/>
  <c r="AA20" i="14"/>
  <c r="P66" i="9"/>
  <c r="Q69" i="9"/>
  <c r="AL89" i="7"/>
  <c r="Q41" i="11"/>
  <c r="P38" i="11"/>
  <c r="P95" i="7"/>
  <c r="O92" i="7"/>
  <c r="AO89" i="7"/>
  <c r="AR89" i="7"/>
  <c r="AG134" i="2"/>
  <c r="AN134" i="2"/>
  <c r="AQ89" i="7"/>
  <c r="AO134" i="2"/>
  <c r="AC89" i="7"/>
  <c r="E134" i="2"/>
  <c r="AI134" i="2"/>
  <c r="AP134" i="2"/>
  <c r="AK134" i="2"/>
  <c r="AQ134" i="2"/>
  <c r="AB20" i="14" l="1"/>
  <c r="AA21" i="14"/>
  <c r="S128" i="2"/>
  <c r="S129" i="2"/>
  <c r="S130" i="2"/>
  <c r="S131" i="2"/>
  <c r="S132" i="2"/>
  <c r="AE33" i="13"/>
  <c r="AE32" i="13"/>
  <c r="AE31" i="13"/>
  <c r="AB31" i="13"/>
  <c r="AB32" i="13"/>
  <c r="AB33" i="13"/>
  <c r="G33" i="13"/>
  <c r="G32" i="13"/>
  <c r="N35" i="13"/>
  <c r="O35" i="13" s="1"/>
  <c r="D33" i="13"/>
  <c r="D32" i="13"/>
  <c r="C33" i="13"/>
  <c r="C32" i="13"/>
  <c r="G30" i="13"/>
  <c r="G31" i="13"/>
  <c r="D31" i="13"/>
  <c r="C31" i="13"/>
  <c r="D29" i="13"/>
  <c r="C29" i="13"/>
  <c r="C20" i="13"/>
  <c r="C19" i="13"/>
  <c r="C18" i="13"/>
  <c r="C13" i="13"/>
  <c r="AB21" i="14" l="1"/>
  <c r="AA22" i="14"/>
  <c r="P37" i="13"/>
  <c r="Q40" i="13"/>
  <c r="C31" i="11"/>
  <c r="C32" i="11"/>
  <c r="C33" i="11"/>
  <c r="AB22" i="14" l="1"/>
  <c r="AA23" i="14"/>
  <c r="Y31" i="11"/>
  <c r="AB23" i="14" l="1"/>
  <c r="AA24" i="14"/>
  <c r="Y30" i="11"/>
  <c r="C29" i="11"/>
  <c r="AB24" i="14" l="1"/>
  <c r="AA25" i="14"/>
  <c r="C61" i="9"/>
  <c r="C60" i="9"/>
  <c r="C59" i="9"/>
  <c r="X61" i="9"/>
  <c r="X60" i="9"/>
  <c r="X59" i="9"/>
  <c r="W61" i="9"/>
  <c r="W60" i="9"/>
  <c r="W59" i="9"/>
  <c r="V61" i="9"/>
  <c r="V60" i="9"/>
  <c r="V59" i="9"/>
  <c r="T61" i="9"/>
  <c r="T60" i="9"/>
  <c r="T59" i="9"/>
  <c r="S59" i="9"/>
  <c r="S60" i="9"/>
  <c r="S61" i="9"/>
  <c r="G61" i="9"/>
  <c r="G60" i="9"/>
  <c r="G59" i="9"/>
  <c r="D59" i="9"/>
  <c r="D60" i="9"/>
  <c r="D61" i="9"/>
  <c r="AB25" i="14" l="1"/>
  <c r="AA26" i="14"/>
  <c r="X87" i="7"/>
  <c r="W87" i="7"/>
  <c r="V87" i="7"/>
  <c r="U87" i="7"/>
  <c r="T87" i="7"/>
  <c r="X86" i="7"/>
  <c r="W86" i="7"/>
  <c r="V86" i="7"/>
  <c r="U86" i="7"/>
  <c r="T86" i="7"/>
  <c r="X85" i="7"/>
  <c r="W85" i="7"/>
  <c r="V85" i="7"/>
  <c r="U85" i="7"/>
  <c r="T85" i="7"/>
  <c r="X84" i="7"/>
  <c r="W84" i="7"/>
  <c r="V84" i="7"/>
  <c r="U84" i="7"/>
  <c r="T84" i="7"/>
  <c r="X83" i="7"/>
  <c r="W83" i="7"/>
  <c r="V83" i="7"/>
  <c r="U83" i="7"/>
  <c r="T83" i="7"/>
  <c r="X82" i="7"/>
  <c r="W82" i="7"/>
  <c r="V82" i="7"/>
  <c r="U82" i="7"/>
  <c r="T82" i="7"/>
  <c r="X81" i="7"/>
  <c r="W81" i="7"/>
  <c r="V81" i="7"/>
  <c r="U81" i="7"/>
  <c r="T81" i="7"/>
  <c r="X80" i="7"/>
  <c r="W80" i="7"/>
  <c r="V80" i="7"/>
  <c r="U80" i="7"/>
  <c r="T80" i="7"/>
  <c r="S80" i="7"/>
  <c r="S81" i="7"/>
  <c r="S82" i="7"/>
  <c r="S83" i="7"/>
  <c r="S84" i="7"/>
  <c r="S85" i="7"/>
  <c r="S86" i="7"/>
  <c r="S87" i="7"/>
  <c r="R87" i="7"/>
  <c r="F87" i="7"/>
  <c r="D87" i="7"/>
  <c r="C87" i="7"/>
  <c r="F86" i="7"/>
  <c r="D86" i="7"/>
  <c r="C86" i="7"/>
  <c r="F85" i="7"/>
  <c r="D85" i="7"/>
  <c r="C85" i="7"/>
  <c r="D83" i="7"/>
  <c r="Y82" i="7"/>
  <c r="D82" i="7"/>
  <c r="C82" i="7"/>
  <c r="D81" i="7"/>
  <c r="C81" i="7"/>
  <c r="AB26" i="14" l="1"/>
  <c r="AA27" i="14"/>
  <c r="AB27" i="14" l="1"/>
  <c r="AA28" i="14"/>
  <c r="AB28" i="14" l="1"/>
  <c r="AA29" i="14"/>
  <c r="AB29" i="14" l="1"/>
  <c r="AA30" i="14"/>
  <c r="I175" i="1"/>
  <c r="I174" i="1"/>
  <c r="E175" i="1"/>
  <c r="E174" i="1"/>
  <c r="D175" i="1"/>
  <c r="D174" i="1"/>
  <c r="AB30" i="14" l="1"/>
  <c r="AA31" i="14"/>
  <c r="H177" i="1"/>
  <c r="Q177" i="1"/>
  <c r="R177" i="1" s="1"/>
  <c r="S179" i="1" s="1"/>
  <c r="Y133" i="2"/>
  <c r="Y125" i="2"/>
  <c r="Y124" i="2"/>
  <c r="Y123" i="2"/>
  <c r="Y122" i="2"/>
  <c r="Y121" i="2"/>
  <c r="Y120" i="2"/>
  <c r="Y119" i="2"/>
  <c r="Y118" i="2"/>
  <c r="Y117" i="2"/>
  <c r="Y116" i="2"/>
  <c r="Y115" i="2"/>
  <c r="AB31" i="14" l="1"/>
  <c r="AA32" i="14"/>
  <c r="Y114" i="2"/>
  <c r="Y113" i="2"/>
  <c r="AB32" i="14" l="1"/>
  <c r="AA33" i="14"/>
  <c r="Y112" i="2"/>
  <c r="Y111" i="2"/>
  <c r="Y110" i="2"/>
  <c r="Y109" i="2"/>
  <c r="AB33" i="14" l="1"/>
  <c r="AA34" i="14"/>
  <c r="Y108" i="2"/>
  <c r="Y106" i="2"/>
  <c r="R133" i="2"/>
  <c r="R132" i="2"/>
  <c r="R131" i="2"/>
  <c r="R130" i="2"/>
  <c r="R129" i="2"/>
  <c r="R128" i="2"/>
  <c r="R127" i="2"/>
  <c r="R126" i="2"/>
  <c r="R125" i="2"/>
  <c r="R124" i="2"/>
  <c r="R123" i="2"/>
  <c r="R122" i="2"/>
  <c r="R121" i="2"/>
  <c r="R120" i="2"/>
  <c r="R119" i="2"/>
  <c r="R118" i="2"/>
  <c r="R117" i="2"/>
  <c r="AB34" i="14" l="1"/>
  <c r="AA35" i="14"/>
  <c r="Y107" i="2"/>
  <c r="AB35" i="14" l="1"/>
  <c r="AA36" i="14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AB36" i="14" l="1"/>
  <c r="AA37" i="14"/>
  <c r="F118" i="2"/>
  <c r="F117" i="2"/>
  <c r="F116" i="2"/>
  <c r="F115" i="2"/>
  <c r="F114" i="2"/>
  <c r="F113" i="2"/>
  <c r="F112" i="2"/>
  <c r="AB37" i="14" l="1"/>
  <c r="AA38" i="14"/>
  <c r="F111" i="2"/>
  <c r="F110" i="2"/>
  <c r="F109" i="2"/>
  <c r="F108" i="2"/>
  <c r="F107" i="2"/>
  <c r="F106" i="2"/>
  <c r="AB38" i="14" l="1"/>
  <c r="AA39" i="14"/>
  <c r="AG34" i="13"/>
  <c r="AF34" i="13"/>
  <c r="X34" i="13"/>
  <c r="AO34" i="13"/>
  <c r="AM34" i="13"/>
  <c r="E34" i="13"/>
  <c r="F34" i="13"/>
  <c r="AH34" i="13"/>
  <c r="AR34" i="13"/>
  <c r="AJ34" i="11"/>
  <c r="AG34" i="11"/>
  <c r="AH34" i="11" s="1"/>
  <c r="AE34" i="11"/>
  <c r="AB34" i="11"/>
  <c r="Y34" i="11"/>
  <c r="X34" i="11"/>
  <c r="W34" i="11"/>
  <c r="V34" i="11"/>
  <c r="U34" i="11"/>
  <c r="T34" i="11"/>
  <c r="S34" i="11"/>
  <c r="G34" i="11"/>
  <c r="E34" i="11"/>
  <c r="D34" i="11"/>
  <c r="AF34" i="11"/>
  <c r="AC34" i="11"/>
  <c r="AB39" i="14" l="1"/>
  <c r="AA40" i="14"/>
  <c r="AP34" i="11"/>
  <c r="AN34" i="11"/>
  <c r="N35" i="11"/>
  <c r="O35" i="11" s="1"/>
  <c r="AP34" i="13"/>
  <c r="AI34" i="13"/>
  <c r="AQ34" i="13"/>
  <c r="AL34" i="13"/>
  <c r="AN34" i="13"/>
  <c r="AR34" i="11"/>
  <c r="AC34" i="13"/>
  <c r="AO34" i="11"/>
  <c r="AK34" i="13"/>
  <c r="AK34" i="11"/>
  <c r="AQ34" i="11"/>
  <c r="AI34" i="11"/>
  <c r="F34" i="11"/>
  <c r="AL34" i="11"/>
  <c r="AM34" i="11"/>
  <c r="AH62" i="9"/>
  <c r="AF62" i="9"/>
  <c r="AC62" i="9"/>
  <c r="N63" i="9"/>
  <c r="O63" i="9" s="1"/>
  <c r="AB40" i="14" l="1"/>
  <c r="AA41" i="14"/>
  <c r="Q40" i="11"/>
  <c r="P37" i="11"/>
  <c r="Q68" i="9"/>
  <c r="P65" i="9"/>
  <c r="AI62" i="9"/>
  <c r="AL62" i="9"/>
  <c r="AQ62" i="9"/>
  <c r="AM62" i="9"/>
  <c r="AN62" i="9"/>
  <c r="AP62" i="9"/>
  <c r="AO62" i="9"/>
  <c r="F62" i="9"/>
  <c r="AR62" i="9"/>
  <c r="AK62" i="9"/>
  <c r="AB41" i="14" l="1"/>
  <c r="AA42" i="14"/>
  <c r="AG88" i="7"/>
  <c r="AH88" i="7" s="1"/>
  <c r="AF88" i="7"/>
  <c r="AD88" i="7"/>
  <c r="AO88" i="7"/>
  <c r="AC88" i="7"/>
  <c r="AB42" i="14" l="1"/>
  <c r="AA43" i="14"/>
  <c r="AQ88" i="7"/>
  <c r="M89" i="7"/>
  <c r="N89" i="7" s="1"/>
  <c r="AN88" i="7"/>
  <c r="AP88" i="7"/>
  <c r="E88" i="7"/>
  <c r="AL88" i="7"/>
  <c r="AR88" i="7"/>
  <c r="AM88" i="7"/>
  <c r="AI88" i="7"/>
  <c r="AJ88" i="7"/>
  <c r="AK88" i="7" s="1"/>
  <c r="AB43" i="14" l="1"/>
  <c r="AA44" i="14"/>
  <c r="P94" i="7"/>
  <c r="O91" i="7"/>
  <c r="AB44" i="14" l="1"/>
  <c r="AA45" i="14"/>
  <c r="AH133" i="2"/>
  <c r="AE133" i="2"/>
  <c r="AF133" i="2" s="1"/>
  <c r="AB133" i="2"/>
  <c r="X133" i="2"/>
  <c r="W133" i="2"/>
  <c r="V133" i="2"/>
  <c r="U133" i="2"/>
  <c r="T133" i="2"/>
  <c r="S133" i="2"/>
  <c r="M134" i="2"/>
  <c r="N134" i="2" s="1"/>
  <c r="AL176" i="1"/>
  <c r="AL175" i="1"/>
  <c r="AL174" i="1"/>
  <c r="AB45" i="14" l="1"/>
  <c r="AA46" i="14"/>
  <c r="P139" i="2"/>
  <c r="O136" i="2"/>
  <c r="AM133" i="2"/>
  <c r="AK133" i="2"/>
  <c r="AQ133" i="2"/>
  <c r="AN133" i="2"/>
  <c r="AO133" i="2"/>
  <c r="E133" i="2"/>
  <c r="AI133" i="2"/>
  <c r="AP133" i="2"/>
  <c r="AL133" i="2"/>
  <c r="AG133" i="2"/>
  <c r="AC133" i="2"/>
  <c r="AF176" i="1"/>
  <c r="AC176" i="1"/>
  <c r="AB176" i="1"/>
  <c r="AT176" i="1" s="1"/>
  <c r="AA176" i="1"/>
  <c r="Z176" i="1"/>
  <c r="Y176" i="1"/>
  <c r="X176" i="1"/>
  <c r="W176" i="1"/>
  <c r="AO176" i="1" s="1"/>
  <c r="V176" i="1"/>
  <c r="AB46" i="14" l="1"/>
  <c r="AA47" i="14"/>
  <c r="G176" i="1"/>
  <c r="AR176" i="1"/>
  <c r="AP176" i="1"/>
  <c r="AM176" i="1"/>
  <c r="AS176" i="1"/>
  <c r="AQ176" i="1"/>
  <c r="AH176" i="1"/>
  <c r="AK176" i="1"/>
  <c r="AG176" i="1"/>
  <c r="AG33" i="13"/>
  <c r="AH33" i="13" s="1"/>
  <c r="AF33" i="13"/>
  <c r="X33" i="13"/>
  <c r="W33" i="13"/>
  <c r="E33" i="13"/>
  <c r="AI33" i="13"/>
  <c r="AJ33" i="11"/>
  <c r="AG33" i="11"/>
  <c r="AH33" i="11" s="1"/>
  <c r="AE33" i="11"/>
  <c r="AF33" i="11" s="1"/>
  <c r="AB33" i="11"/>
  <c r="AC33" i="11" s="1"/>
  <c r="Y33" i="11"/>
  <c r="X33" i="11"/>
  <c r="W33" i="11"/>
  <c r="V33" i="11"/>
  <c r="U33" i="11"/>
  <c r="T33" i="11"/>
  <c r="S33" i="11"/>
  <c r="G33" i="11"/>
  <c r="E33" i="11"/>
  <c r="D33" i="11"/>
  <c r="N34" i="11" s="1"/>
  <c r="O34" i="11" s="1"/>
  <c r="AJ61" i="9"/>
  <c r="AG61" i="9"/>
  <c r="AH61" i="9" s="1"/>
  <c r="AE61" i="9"/>
  <c r="AF61" i="9" s="1"/>
  <c r="AB61" i="9"/>
  <c r="Y61" i="9"/>
  <c r="U61" i="9"/>
  <c r="AN61" i="9" s="1"/>
  <c r="N62" i="9"/>
  <c r="O62" i="9" s="1"/>
  <c r="AG87" i="7"/>
  <c r="AH87" i="7" s="1"/>
  <c r="AE87" i="7"/>
  <c r="AF87" i="7" s="1"/>
  <c r="AB87" i="7"/>
  <c r="AD87" i="7" s="1"/>
  <c r="Y87" i="7"/>
  <c r="AJ87" i="7"/>
  <c r="AH132" i="2"/>
  <c r="AE132" i="2"/>
  <c r="AF132" i="2" s="1"/>
  <c r="AB132" i="2"/>
  <c r="Y132" i="2"/>
  <c r="X132" i="2"/>
  <c r="W132" i="2"/>
  <c r="V132" i="2"/>
  <c r="U132" i="2"/>
  <c r="T132" i="2"/>
  <c r="D132" i="2"/>
  <c r="AF175" i="1"/>
  <c r="AH175" i="1" s="1"/>
  <c r="AC175" i="1"/>
  <c r="AB175" i="1"/>
  <c r="AA175" i="1"/>
  <c r="Z175" i="1"/>
  <c r="Y175" i="1"/>
  <c r="X175" i="1"/>
  <c r="AP175" i="1" s="1"/>
  <c r="W175" i="1"/>
  <c r="V175" i="1"/>
  <c r="AB47" i="14" l="1"/>
  <c r="AA48" i="14"/>
  <c r="Q39" i="11"/>
  <c r="P36" i="11"/>
  <c r="Q67" i="9"/>
  <c r="P64" i="9"/>
  <c r="F33" i="11"/>
  <c r="AL33" i="11"/>
  <c r="AR33" i="11"/>
  <c r="AQ33" i="11"/>
  <c r="AI33" i="11"/>
  <c r="AM33" i="11"/>
  <c r="AO61" i="9"/>
  <c r="AC87" i="7"/>
  <c r="AM61" i="9"/>
  <c r="AP61" i="9"/>
  <c r="F61" i="9"/>
  <c r="AI61" i="9"/>
  <c r="AN87" i="7"/>
  <c r="AP33" i="11"/>
  <c r="AK33" i="11"/>
  <c r="AO33" i="13"/>
  <c r="AM87" i="7"/>
  <c r="M88" i="7"/>
  <c r="N88" i="7" s="1"/>
  <c r="AO87" i="7"/>
  <c r="AK61" i="9"/>
  <c r="AO33" i="11"/>
  <c r="AQ33" i="13"/>
  <c r="AP33" i="13"/>
  <c r="N34" i="13"/>
  <c r="O34" i="13" s="1"/>
  <c r="Q39" i="13" s="1"/>
  <c r="AG132" i="2"/>
  <c r="M133" i="2"/>
  <c r="N133" i="2" s="1"/>
  <c r="AQ61" i="9"/>
  <c r="AN33" i="11"/>
  <c r="F33" i="13"/>
  <c r="AR33" i="13"/>
  <c r="AS175" i="1"/>
  <c r="Q176" i="1"/>
  <c r="R176" i="1" s="1"/>
  <c r="S178" i="1" s="1"/>
  <c r="H176" i="1"/>
  <c r="AL61" i="9"/>
  <c r="AR61" i="9"/>
  <c r="AL33" i="13"/>
  <c r="AK33" i="13"/>
  <c r="AM33" i="13"/>
  <c r="AN33" i="13"/>
  <c r="AC33" i="13"/>
  <c r="AC61" i="9"/>
  <c r="E87" i="7"/>
  <c r="AR87" i="7"/>
  <c r="AK87" i="7"/>
  <c r="AQ87" i="7"/>
  <c r="AL87" i="7"/>
  <c r="AP87" i="7"/>
  <c r="AI87" i="7"/>
  <c r="AM132" i="2"/>
  <c r="AQ132" i="2"/>
  <c r="AK132" i="2"/>
  <c r="AO132" i="2"/>
  <c r="E132" i="2"/>
  <c r="AC132" i="2"/>
  <c r="AI132" i="2"/>
  <c r="AP132" i="2"/>
  <c r="AL132" i="2"/>
  <c r="AN132" i="2"/>
  <c r="AQ175" i="1"/>
  <c r="AK175" i="1"/>
  <c r="AR175" i="1"/>
  <c r="AG175" i="1"/>
  <c r="AM175" i="1"/>
  <c r="AT175" i="1"/>
  <c r="AO175" i="1"/>
  <c r="G175" i="1"/>
  <c r="AG32" i="13"/>
  <c r="AH32" i="13" s="1"/>
  <c r="AF32" i="13"/>
  <c r="X32" i="13"/>
  <c r="W32" i="13"/>
  <c r="AN32" i="13"/>
  <c r="AL32" i="13"/>
  <c r="E32" i="13"/>
  <c r="F32" i="13"/>
  <c r="AJ60" i="9"/>
  <c r="AG60" i="9"/>
  <c r="AH60" i="9" s="1"/>
  <c r="AE60" i="9"/>
  <c r="AF60" i="9" s="1"/>
  <c r="AB60" i="9"/>
  <c r="AI60" i="9" s="1"/>
  <c r="Y60" i="9"/>
  <c r="U60" i="9"/>
  <c r="AN60" i="9" s="1"/>
  <c r="AM60" i="9"/>
  <c r="AO60" i="9"/>
  <c r="AP60" i="9"/>
  <c r="AB48" i="14" l="1"/>
  <c r="AA49" i="14"/>
  <c r="P138" i="2"/>
  <c r="O135" i="2"/>
  <c r="P93" i="7"/>
  <c r="O90" i="7"/>
  <c r="P36" i="13"/>
  <c r="AQ32" i="13"/>
  <c r="F60" i="9"/>
  <c r="AC60" i="9"/>
  <c r="N61" i="9"/>
  <c r="O61" i="9" s="1"/>
  <c r="AQ60" i="9"/>
  <c r="AL60" i="9"/>
  <c r="AR60" i="9"/>
  <c r="AO32" i="13"/>
  <c r="AP32" i="13"/>
  <c r="N33" i="13"/>
  <c r="O33" i="13" s="1"/>
  <c r="R44" i="13" s="1"/>
  <c r="AM32" i="13"/>
  <c r="AK32" i="13"/>
  <c r="AR32" i="13"/>
  <c r="AC32" i="13"/>
  <c r="AI32" i="13"/>
  <c r="AK60" i="9"/>
  <c r="AJ32" i="11"/>
  <c r="AG32" i="11"/>
  <c r="AH32" i="11" s="1"/>
  <c r="AE32" i="11"/>
  <c r="AF32" i="11" s="1"/>
  <c r="AB32" i="11"/>
  <c r="AC32" i="11" s="1"/>
  <c r="Y32" i="11"/>
  <c r="X32" i="11"/>
  <c r="W32" i="11"/>
  <c r="V32" i="11"/>
  <c r="U32" i="11"/>
  <c r="T32" i="11"/>
  <c r="S32" i="11"/>
  <c r="G32" i="11"/>
  <c r="E32" i="11"/>
  <c r="D32" i="11"/>
  <c r="AG86" i="7"/>
  <c r="AH86" i="7" s="1"/>
  <c r="AE86" i="7"/>
  <c r="AF86" i="7" s="1"/>
  <c r="AB86" i="7"/>
  <c r="AD86" i="7" s="1"/>
  <c r="Y86" i="7"/>
  <c r="R86" i="7"/>
  <c r="M87" i="7"/>
  <c r="N87" i="7" s="1"/>
  <c r="AH131" i="2"/>
  <c r="AE131" i="2"/>
  <c r="AF131" i="2" s="1"/>
  <c r="AB131" i="2"/>
  <c r="Y131" i="2"/>
  <c r="X131" i="2"/>
  <c r="W131" i="2"/>
  <c r="V131" i="2"/>
  <c r="U131" i="2"/>
  <c r="T131" i="2"/>
  <c r="D131" i="2"/>
  <c r="AB49" i="14" l="1"/>
  <c r="AA50" i="14"/>
  <c r="P63" i="9"/>
  <c r="Q66" i="9"/>
  <c r="O89" i="7"/>
  <c r="Q98" i="7"/>
  <c r="P92" i="7"/>
  <c r="P35" i="13"/>
  <c r="Q38" i="13"/>
  <c r="AQ131" i="2"/>
  <c r="AP131" i="2"/>
  <c r="AN86" i="7"/>
  <c r="AO86" i="7"/>
  <c r="AM131" i="2"/>
  <c r="AL32" i="11"/>
  <c r="AM32" i="11"/>
  <c r="AL86" i="7"/>
  <c r="AN131" i="2"/>
  <c r="AQ86" i="7"/>
  <c r="AN32" i="11"/>
  <c r="AK131" i="2"/>
  <c r="M132" i="2"/>
  <c r="N132" i="2" s="1"/>
  <c r="AR86" i="7"/>
  <c r="AK32" i="11"/>
  <c r="N33" i="11"/>
  <c r="O33" i="11" s="1"/>
  <c r="AO32" i="11"/>
  <c r="AM86" i="7"/>
  <c r="AQ32" i="11"/>
  <c r="AP32" i="11"/>
  <c r="AI32" i="11"/>
  <c r="F32" i="11"/>
  <c r="AR32" i="11"/>
  <c r="AJ86" i="7"/>
  <c r="AK86" i="7" s="1"/>
  <c r="AI86" i="7"/>
  <c r="E86" i="7"/>
  <c r="AC86" i="7"/>
  <c r="AP86" i="7"/>
  <c r="AI131" i="2"/>
  <c r="AC131" i="2"/>
  <c r="AL131" i="2"/>
  <c r="AG131" i="2"/>
  <c r="AO131" i="2"/>
  <c r="E131" i="2"/>
  <c r="AB50" i="14" l="1"/>
  <c r="AA51" i="14"/>
  <c r="P35" i="11"/>
  <c r="R44" i="11"/>
  <c r="Q38" i="11"/>
  <c r="O134" i="2"/>
  <c r="Q143" i="2"/>
  <c r="P137" i="2"/>
  <c r="AF174" i="1"/>
  <c r="AC174" i="1"/>
  <c r="AB174" i="1"/>
  <c r="AA174" i="1"/>
  <c r="Z174" i="1"/>
  <c r="Y174" i="1"/>
  <c r="X174" i="1"/>
  <c r="W174" i="1"/>
  <c r="V174" i="1"/>
  <c r="AB51" i="14" l="1"/>
  <c r="AA52" i="14"/>
  <c r="AQ174" i="1"/>
  <c r="AO174" i="1"/>
  <c r="AT174" i="1"/>
  <c r="H175" i="1"/>
  <c r="Q175" i="1"/>
  <c r="R175" i="1" s="1"/>
  <c r="S177" i="1" s="1"/>
  <c r="AM174" i="1"/>
  <c r="AK174" i="1"/>
  <c r="AP174" i="1"/>
  <c r="AR174" i="1"/>
  <c r="AH174" i="1"/>
  <c r="AS174" i="1"/>
  <c r="G174" i="1"/>
  <c r="AG174" i="1"/>
  <c r="AB52" i="14" l="1"/>
  <c r="AA53" i="14"/>
  <c r="AG31" i="13"/>
  <c r="X31" i="13"/>
  <c r="W31" i="13"/>
  <c r="E31" i="13"/>
  <c r="N32" i="13"/>
  <c r="O32" i="13" s="1"/>
  <c r="R43" i="13" s="1"/>
  <c r="V31" i="11"/>
  <c r="D31" i="11"/>
  <c r="N32" i="11" s="1"/>
  <c r="O32" i="11" s="1"/>
  <c r="AJ31" i="11"/>
  <c r="AG31" i="11"/>
  <c r="AE31" i="11"/>
  <c r="AB31" i="11"/>
  <c r="X31" i="11"/>
  <c r="W31" i="11"/>
  <c r="U31" i="11"/>
  <c r="T31" i="11"/>
  <c r="S31" i="11"/>
  <c r="G31" i="11"/>
  <c r="E31" i="11"/>
  <c r="N60" i="9"/>
  <c r="O60" i="9" s="1"/>
  <c r="AJ59" i="9"/>
  <c r="AG59" i="9"/>
  <c r="AE59" i="9"/>
  <c r="AB59" i="9"/>
  <c r="Y59" i="9"/>
  <c r="U59" i="9"/>
  <c r="AG85" i="7"/>
  <c r="AE85" i="7"/>
  <c r="AB85" i="7"/>
  <c r="Y85" i="7"/>
  <c r="R85" i="7"/>
  <c r="M86" i="7"/>
  <c r="N86" i="7" s="1"/>
  <c r="AH130" i="2"/>
  <c r="AE130" i="2"/>
  <c r="AB130" i="2"/>
  <c r="Y130" i="2"/>
  <c r="X130" i="2"/>
  <c r="W130" i="2"/>
  <c r="V130" i="2"/>
  <c r="U130" i="2"/>
  <c r="T130" i="2"/>
  <c r="D130" i="2"/>
  <c r="M131" i="2" s="1"/>
  <c r="N131" i="2" s="1"/>
  <c r="AL173" i="1"/>
  <c r="AF173" i="1"/>
  <c r="AC173" i="1"/>
  <c r="AB173" i="1"/>
  <c r="AA173" i="1"/>
  <c r="Z173" i="1"/>
  <c r="Y173" i="1"/>
  <c r="X173" i="1"/>
  <c r="W173" i="1"/>
  <c r="V173" i="1"/>
  <c r="I173" i="1"/>
  <c r="E173" i="1"/>
  <c r="D173" i="1"/>
  <c r="AB53" i="14" l="1"/>
  <c r="AA54" i="14"/>
  <c r="O133" i="2"/>
  <c r="Q142" i="2"/>
  <c r="P136" i="2"/>
  <c r="O88" i="7"/>
  <c r="Q97" i="7"/>
  <c r="P91" i="7"/>
  <c r="P62" i="9"/>
  <c r="R71" i="9"/>
  <c r="Q65" i="9"/>
  <c r="P34" i="11"/>
  <c r="R43" i="11"/>
  <c r="Q37" i="11"/>
  <c r="P34" i="13"/>
  <c r="Q37" i="13"/>
  <c r="Q174" i="1"/>
  <c r="R174" i="1" s="1"/>
  <c r="S176" i="1" s="1"/>
  <c r="H174" i="1"/>
  <c r="AK31" i="13"/>
  <c r="AF31" i="13"/>
  <c r="AN31" i="13"/>
  <c r="AO31" i="13"/>
  <c r="AI31" i="13"/>
  <c r="AH31" i="13"/>
  <c r="AC31" i="13"/>
  <c r="AR31" i="13"/>
  <c r="AQ31" i="13"/>
  <c r="AP31" i="13"/>
  <c r="AM31" i="13"/>
  <c r="AL31" i="13"/>
  <c r="F31" i="13"/>
  <c r="AH31" i="11"/>
  <c r="AF31" i="11"/>
  <c r="AO31" i="11"/>
  <c r="AN31" i="11"/>
  <c r="AL31" i="11"/>
  <c r="AK31" i="11"/>
  <c r="AC31" i="11"/>
  <c r="AM31" i="11"/>
  <c r="AR59" i="9"/>
  <c r="AQ59" i="9"/>
  <c r="AM59" i="9"/>
  <c r="AL59" i="9"/>
  <c r="AP59" i="9"/>
  <c r="AH59" i="9"/>
  <c r="AF59" i="9"/>
  <c r="AO59" i="9"/>
  <c r="AN59" i="9"/>
  <c r="F59" i="9"/>
  <c r="AK59" i="9"/>
  <c r="AI85" i="7"/>
  <c r="AQ85" i="7"/>
  <c r="AP85" i="7"/>
  <c r="AM85" i="7"/>
  <c r="AR85" i="7"/>
  <c r="AO85" i="7"/>
  <c r="AL85" i="7"/>
  <c r="AJ85" i="7"/>
  <c r="AK85" i="7" s="1"/>
  <c r="AH85" i="7"/>
  <c r="AF85" i="7"/>
  <c r="AC85" i="7"/>
  <c r="AN85" i="7"/>
  <c r="E85" i="7"/>
  <c r="AF130" i="2"/>
  <c r="AG130" i="2"/>
  <c r="AN130" i="2"/>
  <c r="AM130" i="2"/>
  <c r="AQ130" i="2"/>
  <c r="AS173" i="1"/>
  <c r="AP173" i="1"/>
  <c r="AH173" i="1"/>
  <c r="AB54" i="14" l="1"/>
  <c r="AA55" i="14"/>
  <c r="AB55" i="14" s="1"/>
  <c r="AP31" i="11"/>
  <c r="F31" i="11"/>
  <c r="AQ31" i="11"/>
  <c r="AI31" i="11"/>
  <c r="AR31" i="11"/>
  <c r="AI59" i="9"/>
  <c r="AC59" i="9"/>
  <c r="AD85" i="7"/>
  <c r="AC130" i="2"/>
  <c r="AI130" i="2"/>
  <c r="AP130" i="2"/>
  <c r="AK130" i="2"/>
  <c r="AL130" i="2"/>
  <c r="AO130" i="2"/>
  <c r="E130" i="2"/>
  <c r="AK173" i="1"/>
  <c r="AR173" i="1"/>
  <c r="AG173" i="1"/>
  <c r="AM173" i="1"/>
  <c r="AT173" i="1"/>
  <c r="AO173" i="1"/>
  <c r="AQ173" i="1"/>
  <c r="G173" i="1"/>
  <c r="AJ30" i="13"/>
  <c r="AG30" i="13"/>
  <c r="AE30" i="13"/>
  <c r="AB30" i="13"/>
  <c r="X30" i="13" l="1"/>
  <c r="W30" i="13"/>
  <c r="V30" i="13"/>
  <c r="U30" i="13"/>
  <c r="S30" i="13"/>
  <c r="G29" i="13" l="1"/>
  <c r="G26" i="13" l="1"/>
  <c r="E30" i="13"/>
  <c r="D30" i="13"/>
  <c r="C30" i="13"/>
  <c r="AH30" i="13"/>
  <c r="AF30" i="13"/>
  <c r="AC30" i="13"/>
  <c r="AI30" i="13" l="1"/>
  <c r="N31" i="13"/>
  <c r="O31" i="13" s="1"/>
  <c r="R42" i="13" s="1"/>
  <c r="AQ30" i="13"/>
  <c r="AM30" i="13"/>
  <c r="AK30" i="13"/>
  <c r="AN30" i="13"/>
  <c r="AO30" i="13"/>
  <c r="F30" i="13"/>
  <c r="AP30" i="13"/>
  <c r="AL30" i="13"/>
  <c r="AR30" i="13"/>
  <c r="P33" i="13" l="1"/>
  <c r="Q36" i="13"/>
  <c r="AJ30" i="11"/>
  <c r="AG30" i="11"/>
  <c r="AH30" i="11" s="1"/>
  <c r="AE30" i="11"/>
  <c r="AF30" i="11" s="1"/>
  <c r="AB30" i="11"/>
  <c r="Y29" i="11"/>
  <c r="Y28" i="11"/>
  <c r="Y27" i="11"/>
  <c r="X30" i="11"/>
  <c r="W30" i="11"/>
  <c r="V30" i="11"/>
  <c r="U30" i="11"/>
  <c r="T30" i="11"/>
  <c r="S30" i="11"/>
  <c r="G30" i="11"/>
  <c r="E30" i="11"/>
  <c r="D30" i="11"/>
  <c r="C30" i="11"/>
  <c r="AR30" i="11" l="1"/>
  <c r="AP30" i="11"/>
  <c r="AL30" i="11"/>
  <c r="F30" i="11"/>
  <c r="N31" i="11"/>
  <c r="O31" i="11" s="1"/>
  <c r="AQ30" i="11"/>
  <c r="AM30" i="11"/>
  <c r="AN30" i="11"/>
  <c r="AI30" i="11"/>
  <c r="AK30" i="11"/>
  <c r="AO30" i="11"/>
  <c r="AC30" i="11"/>
  <c r="P33" i="11" l="1"/>
  <c r="R42" i="11"/>
  <c r="Q36" i="11"/>
  <c r="AJ58" i="9"/>
  <c r="AG58" i="9"/>
  <c r="AE58" i="9"/>
  <c r="AB58" i="9"/>
  <c r="Y55" i="9"/>
  <c r="Y58" i="9"/>
  <c r="Y57" i="9"/>
  <c r="Y56" i="9"/>
  <c r="S58" i="9" l="1"/>
  <c r="X58" i="9" l="1"/>
  <c r="W58" i="9"/>
  <c r="V58" i="9"/>
  <c r="U58" i="9"/>
  <c r="T58" i="9"/>
  <c r="G57" i="9"/>
  <c r="G56" i="9"/>
  <c r="G55" i="9"/>
  <c r="G58" i="9"/>
  <c r="D58" i="9"/>
  <c r="F58" i="9" s="1"/>
  <c r="C58" i="9"/>
  <c r="AK58" i="9"/>
  <c r="AH58" i="9"/>
  <c r="AF58" i="9"/>
  <c r="AC58" i="9"/>
  <c r="C83" i="7"/>
  <c r="F82" i="7"/>
  <c r="F81" i="7"/>
  <c r="F83" i="7"/>
  <c r="AG84" i="7"/>
  <c r="AE84" i="7"/>
  <c r="AB84" i="7"/>
  <c r="Y81" i="7"/>
  <c r="Y83" i="7"/>
  <c r="Y84" i="7"/>
  <c r="V161" i="1"/>
  <c r="V160" i="1"/>
  <c r="V172" i="1"/>
  <c r="AM58" i="9" l="1"/>
  <c r="AO58" i="9"/>
  <c r="AN58" i="9"/>
  <c r="AP58" i="9"/>
  <c r="AI58" i="9"/>
  <c r="N59" i="9"/>
  <c r="O59" i="9" s="1"/>
  <c r="AQ58" i="9"/>
  <c r="AL58" i="9"/>
  <c r="AR58" i="9"/>
  <c r="R81" i="7"/>
  <c r="R82" i="7"/>
  <c r="R83" i="7"/>
  <c r="R84" i="7"/>
  <c r="P61" i="9" l="1"/>
  <c r="R70" i="9"/>
  <c r="Q64" i="9"/>
  <c r="F84" i="7"/>
  <c r="D84" i="7"/>
  <c r="E84" i="7" s="1"/>
  <c r="C84" i="7"/>
  <c r="AJ84" i="7"/>
  <c r="AH84" i="7"/>
  <c r="AF84" i="7"/>
  <c r="AD84" i="7"/>
  <c r="AC84" i="7"/>
  <c r="C128" i="2"/>
  <c r="AH129" i="2"/>
  <c r="AE129" i="2"/>
  <c r="AB129" i="2"/>
  <c r="AN84" i="7" l="1"/>
  <c r="AP84" i="7"/>
  <c r="AK84" i="7"/>
  <c r="AR84" i="7"/>
  <c r="AO84" i="7"/>
  <c r="AL84" i="7"/>
  <c r="AI84" i="7"/>
  <c r="M85" i="7"/>
  <c r="N85" i="7" s="1"/>
  <c r="AM84" i="7"/>
  <c r="AQ84" i="7"/>
  <c r="Y129" i="2"/>
  <c r="X129" i="2"/>
  <c r="W129" i="2"/>
  <c r="V129" i="2"/>
  <c r="U129" i="2"/>
  <c r="T129" i="2"/>
  <c r="D129" i="2"/>
  <c r="M130" i="2" s="1"/>
  <c r="N130" i="2" s="1"/>
  <c r="C129" i="2"/>
  <c r="AF129" i="2"/>
  <c r="AL172" i="1"/>
  <c r="AF172" i="1"/>
  <c r="AC172" i="1"/>
  <c r="AB172" i="1"/>
  <c r="AA172" i="1"/>
  <c r="Z172" i="1"/>
  <c r="Y172" i="1"/>
  <c r="X172" i="1"/>
  <c r="W172" i="1"/>
  <c r="I172" i="1"/>
  <c r="E172" i="1"/>
  <c r="D172" i="1"/>
  <c r="O87" i="7" l="1"/>
  <c r="Q96" i="7"/>
  <c r="P90" i="7"/>
  <c r="O132" i="2"/>
  <c r="Q141" i="2"/>
  <c r="P135" i="2"/>
  <c r="Q173" i="1"/>
  <c r="R173" i="1" s="1"/>
  <c r="H173" i="1"/>
  <c r="AG129" i="2"/>
  <c r="AN129" i="2"/>
  <c r="AQ129" i="2"/>
  <c r="AM129" i="2"/>
  <c r="AO129" i="2"/>
  <c r="E129" i="2"/>
  <c r="AL129" i="2"/>
  <c r="AC129" i="2"/>
  <c r="AI129" i="2"/>
  <c r="AP129" i="2"/>
  <c r="AK129" i="2"/>
  <c r="AO172" i="1"/>
  <c r="AH172" i="1"/>
  <c r="S175" i="1" l="1"/>
  <c r="T184" i="1"/>
  <c r="AP172" i="1"/>
  <c r="AQ172" i="1"/>
  <c r="G172" i="1"/>
  <c r="AK172" i="1"/>
  <c r="AR172" i="1"/>
  <c r="AS172" i="1"/>
  <c r="AG172" i="1"/>
  <c r="AM172" i="1"/>
  <c r="AT172" i="1"/>
  <c r="AJ29" i="13"/>
  <c r="AG29" i="13"/>
  <c r="AH29" i="13" s="1"/>
  <c r="AE29" i="13"/>
  <c r="AF29" i="13" s="1"/>
  <c r="AB29" i="13"/>
  <c r="AC29" i="13" s="1"/>
  <c r="X29" i="13"/>
  <c r="W29" i="13"/>
  <c r="V29" i="13"/>
  <c r="U29" i="13"/>
  <c r="S29" i="13"/>
  <c r="E28" i="13"/>
  <c r="E29" i="13"/>
  <c r="AJ29" i="11"/>
  <c r="AG29" i="11"/>
  <c r="AH29" i="11" s="1"/>
  <c r="AE29" i="11"/>
  <c r="AF29" i="11" s="1"/>
  <c r="AB29" i="11"/>
  <c r="X29" i="11"/>
  <c r="W29" i="11"/>
  <c r="V29" i="11"/>
  <c r="U29" i="11"/>
  <c r="T29" i="11"/>
  <c r="S29" i="11"/>
  <c r="G29" i="11"/>
  <c r="E28" i="11"/>
  <c r="E29" i="11"/>
  <c r="D29" i="11"/>
  <c r="N30" i="11" s="1"/>
  <c r="O30" i="11" s="1"/>
  <c r="R41" i="11" s="1"/>
  <c r="AJ57" i="9"/>
  <c r="AG57" i="9"/>
  <c r="AH57" i="9" s="1"/>
  <c r="AE57" i="9"/>
  <c r="AF57" i="9" s="1"/>
  <c r="AB57" i="9"/>
  <c r="AC57" i="9" s="1"/>
  <c r="X57" i="9"/>
  <c r="W57" i="9"/>
  <c r="V57" i="9"/>
  <c r="U57" i="9"/>
  <c r="T57" i="9"/>
  <c r="S57" i="9"/>
  <c r="D57" i="9"/>
  <c r="AL57" i="9" s="1"/>
  <c r="C57" i="9"/>
  <c r="AG83" i="7"/>
  <c r="AH83" i="7" s="1"/>
  <c r="AE83" i="7"/>
  <c r="AF83" i="7" s="1"/>
  <c r="AB83" i="7"/>
  <c r="AJ83" i="7" s="1"/>
  <c r="AO83" i="7"/>
  <c r="AC83" i="7"/>
  <c r="AH128" i="2"/>
  <c r="AE128" i="2"/>
  <c r="AF128" i="2" s="1"/>
  <c r="AB128" i="2"/>
  <c r="Y128" i="2"/>
  <c r="X128" i="2"/>
  <c r="W128" i="2"/>
  <c r="V128" i="2"/>
  <c r="U128" i="2"/>
  <c r="T128" i="2"/>
  <c r="D128" i="2"/>
  <c r="AL171" i="1"/>
  <c r="AF171" i="1"/>
  <c r="AH171" i="1" s="1"/>
  <c r="AC171" i="1"/>
  <c r="AB171" i="1"/>
  <c r="AA171" i="1"/>
  <c r="Z171" i="1"/>
  <c r="Y171" i="1"/>
  <c r="X171" i="1"/>
  <c r="W171" i="1"/>
  <c r="I171" i="1"/>
  <c r="E171" i="1"/>
  <c r="AP171" i="1" s="1"/>
  <c r="D171" i="1"/>
  <c r="AL128" i="2" l="1"/>
  <c r="AG171" i="1"/>
  <c r="P32" i="11"/>
  <c r="Q35" i="11"/>
  <c r="AM128" i="2"/>
  <c r="AD83" i="7"/>
  <c r="AG128" i="2"/>
  <c r="AR83" i="7"/>
  <c r="AP57" i="9"/>
  <c r="AS171" i="1"/>
  <c r="AT171" i="1"/>
  <c r="AO57" i="9"/>
  <c r="AM29" i="13"/>
  <c r="AP128" i="2"/>
  <c r="AQ57" i="9"/>
  <c r="AN29" i="11"/>
  <c r="AQ29" i="13"/>
  <c r="AK83" i="7"/>
  <c r="AM83" i="7"/>
  <c r="AM57" i="9"/>
  <c r="Q172" i="1"/>
  <c r="R172" i="1" s="1"/>
  <c r="H172" i="1"/>
  <c r="AM171" i="1"/>
  <c r="AL83" i="7"/>
  <c r="F57" i="9"/>
  <c r="N58" i="9"/>
  <c r="O58" i="9" s="1"/>
  <c r="R69" i="9" s="1"/>
  <c r="AR171" i="1"/>
  <c r="AN57" i="9"/>
  <c r="F29" i="13"/>
  <c r="N30" i="13"/>
  <c r="O30" i="13" s="1"/>
  <c r="R41" i="13" s="1"/>
  <c r="AP29" i="11"/>
  <c r="AN83" i="7"/>
  <c r="E83" i="7"/>
  <c r="M84" i="7"/>
  <c r="N84" i="7" s="1"/>
  <c r="Q95" i="7" s="1"/>
  <c r="AP83" i="7"/>
  <c r="AQ83" i="7"/>
  <c r="AI83" i="7"/>
  <c r="AK128" i="2"/>
  <c r="M129" i="2"/>
  <c r="N129" i="2" s="1"/>
  <c r="Q140" i="2" s="1"/>
  <c r="AN128" i="2"/>
  <c r="AI128" i="2"/>
  <c r="AC128" i="2"/>
  <c r="AO128" i="2"/>
  <c r="AI29" i="13"/>
  <c r="AL29" i="13"/>
  <c r="AR29" i="13"/>
  <c r="AO29" i="13"/>
  <c r="AN29" i="13"/>
  <c r="AP29" i="13"/>
  <c r="AK29" i="13"/>
  <c r="AI29" i="11"/>
  <c r="AC29" i="11"/>
  <c r="AK29" i="11"/>
  <c r="F29" i="11"/>
  <c r="AL29" i="11"/>
  <c r="AQ29" i="11"/>
  <c r="AO29" i="11"/>
  <c r="AR29" i="11"/>
  <c r="AM29" i="11"/>
  <c r="AK57" i="9"/>
  <c r="AI57" i="9"/>
  <c r="AR57" i="9"/>
  <c r="AQ128" i="2"/>
  <c r="E128" i="2"/>
  <c r="AO171" i="1"/>
  <c r="AQ171" i="1"/>
  <c r="G171" i="1"/>
  <c r="AK171" i="1"/>
  <c r="AJ28" i="13"/>
  <c r="AG28" i="13"/>
  <c r="AE28" i="13"/>
  <c r="AB28" i="13"/>
  <c r="AC28" i="13" s="1"/>
  <c r="AB27" i="13"/>
  <c r="AB26" i="13"/>
  <c r="AB25" i="13"/>
  <c r="S174" i="1" l="1"/>
  <c r="T183" i="1"/>
  <c r="O86" i="7"/>
  <c r="P89" i="7"/>
  <c r="O131" i="2"/>
  <c r="P134" i="2"/>
  <c r="P60" i="9"/>
  <c r="Q63" i="9"/>
  <c r="P32" i="13"/>
  <c r="Q35" i="13"/>
  <c r="X28" i="13"/>
  <c r="W28" i="13"/>
  <c r="V28" i="13"/>
  <c r="U28" i="13"/>
  <c r="T28" i="13"/>
  <c r="S28" i="13"/>
  <c r="D28" i="13"/>
  <c r="N29" i="13" s="1"/>
  <c r="O29" i="13" s="1"/>
  <c r="R40" i="13" s="1"/>
  <c r="C28" i="13"/>
  <c r="AH28" i="13"/>
  <c r="AF28" i="13"/>
  <c r="AJ28" i="11"/>
  <c r="AG28" i="11"/>
  <c r="AH28" i="11" s="1"/>
  <c r="AE28" i="11"/>
  <c r="AF28" i="11" s="1"/>
  <c r="AB28" i="11"/>
  <c r="X28" i="11"/>
  <c r="W28" i="11"/>
  <c r="V28" i="11"/>
  <c r="U28" i="11"/>
  <c r="T28" i="11"/>
  <c r="S28" i="11"/>
  <c r="G28" i="11"/>
  <c r="D28" i="11"/>
  <c r="N29" i="11" s="1"/>
  <c r="O29" i="11" s="1"/>
  <c r="R40" i="11" s="1"/>
  <c r="C28" i="11"/>
  <c r="AJ56" i="9"/>
  <c r="AG56" i="9"/>
  <c r="AH56" i="9" s="1"/>
  <c r="AE56" i="9"/>
  <c r="AF56" i="9" s="1"/>
  <c r="AB56" i="9"/>
  <c r="X56" i="9"/>
  <c r="W56" i="9"/>
  <c r="V56" i="9"/>
  <c r="U56" i="9"/>
  <c r="T56" i="9"/>
  <c r="S56" i="9"/>
  <c r="D56" i="9"/>
  <c r="C56" i="9"/>
  <c r="AG82" i="7"/>
  <c r="AH82" i="7" s="1"/>
  <c r="AE82" i="7"/>
  <c r="AF82" i="7" s="1"/>
  <c r="AB82" i="7"/>
  <c r="AJ82" i="7" s="1"/>
  <c r="M83" i="7"/>
  <c r="N83" i="7" s="1"/>
  <c r="Q94" i="7" s="1"/>
  <c r="AH127" i="2"/>
  <c r="AE127" i="2"/>
  <c r="AF127" i="2" s="1"/>
  <c r="AB127" i="2"/>
  <c r="Y127" i="2"/>
  <c r="X127" i="2"/>
  <c r="W127" i="2"/>
  <c r="V127" i="2"/>
  <c r="U127" i="2"/>
  <c r="T127" i="2"/>
  <c r="S127" i="2"/>
  <c r="D127" i="2"/>
  <c r="M128" i="2" s="1"/>
  <c r="N128" i="2" s="1"/>
  <c r="Q139" i="2" s="1"/>
  <c r="C127" i="2"/>
  <c r="AL170" i="1"/>
  <c r="AF170" i="1"/>
  <c r="AG170" i="1" s="1"/>
  <c r="AC170" i="1"/>
  <c r="AB170" i="1"/>
  <c r="AA170" i="1"/>
  <c r="Z170" i="1"/>
  <c r="Y170" i="1"/>
  <c r="X170" i="1"/>
  <c r="W170" i="1"/>
  <c r="I170" i="1"/>
  <c r="E170" i="1"/>
  <c r="D170" i="1"/>
  <c r="AO28" i="11" l="1"/>
  <c r="F28" i="13"/>
  <c r="AP28" i="13"/>
  <c r="AP82" i="7"/>
  <c r="AM28" i="11"/>
  <c r="AP56" i="9"/>
  <c r="AN28" i="11"/>
  <c r="AQ56" i="9"/>
  <c r="N57" i="9"/>
  <c r="O57" i="9" s="1"/>
  <c r="R68" i="9" s="1"/>
  <c r="AM82" i="7"/>
  <c r="AR56" i="9"/>
  <c r="AL56" i="9"/>
  <c r="AL28" i="13"/>
  <c r="AR28" i="13"/>
  <c r="AN56" i="9"/>
  <c r="AQ28" i="13"/>
  <c r="AK170" i="1"/>
  <c r="H171" i="1"/>
  <c r="Q171" i="1"/>
  <c r="R171" i="1" s="1"/>
  <c r="AM56" i="9"/>
  <c r="Q34" i="11"/>
  <c r="P31" i="11"/>
  <c r="AM28" i="13"/>
  <c r="AI28" i="13"/>
  <c r="P88" i="7"/>
  <c r="O85" i="7"/>
  <c r="Q34" i="13"/>
  <c r="P31" i="13"/>
  <c r="AO82" i="7"/>
  <c r="AN28" i="13"/>
  <c r="P133" i="2"/>
  <c r="O130" i="2"/>
  <c r="AP28" i="11"/>
  <c r="AN127" i="2"/>
  <c r="AQ127" i="2"/>
  <c r="AL127" i="2"/>
  <c r="AK28" i="13"/>
  <c r="AO28" i="13"/>
  <c r="AR28" i="11"/>
  <c r="AQ28" i="11"/>
  <c r="AC28" i="11"/>
  <c r="AI28" i="11"/>
  <c r="F28" i="11"/>
  <c r="AK28" i="11"/>
  <c r="AL28" i="11"/>
  <c r="AK56" i="9"/>
  <c r="AO56" i="9"/>
  <c r="AC56" i="9"/>
  <c r="AI56" i="9"/>
  <c r="F56" i="9"/>
  <c r="AQ82" i="7"/>
  <c r="AL82" i="7"/>
  <c r="AR82" i="7"/>
  <c r="AN82" i="7"/>
  <c r="E82" i="7"/>
  <c r="AC82" i="7"/>
  <c r="AI82" i="7"/>
  <c r="AD82" i="7"/>
  <c r="AK82" i="7"/>
  <c r="AG127" i="2"/>
  <c r="AC127" i="2"/>
  <c r="AI127" i="2"/>
  <c r="AP127" i="2"/>
  <c r="AK127" i="2"/>
  <c r="AM127" i="2"/>
  <c r="AO127" i="2"/>
  <c r="E127" i="2"/>
  <c r="AR170" i="1"/>
  <c r="AO170" i="1"/>
  <c r="G170" i="1"/>
  <c r="AP170" i="1"/>
  <c r="AS170" i="1"/>
  <c r="AQ170" i="1"/>
  <c r="AT170" i="1"/>
  <c r="AM170" i="1"/>
  <c r="AH170" i="1"/>
  <c r="AJ27" i="13"/>
  <c r="AG27" i="13"/>
  <c r="AH27" i="13" s="1"/>
  <c r="AE27" i="13"/>
  <c r="AF27" i="13" s="1"/>
  <c r="X27" i="13"/>
  <c r="W27" i="13"/>
  <c r="V27" i="13"/>
  <c r="U27" i="13"/>
  <c r="T27" i="13"/>
  <c r="S27" i="13"/>
  <c r="E27" i="13"/>
  <c r="D27" i="13"/>
  <c r="N28" i="13" s="1"/>
  <c r="O28" i="13" s="1"/>
  <c r="R39" i="13" s="1"/>
  <c r="C27" i="13"/>
  <c r="AJ27" i="11"/>
  <c r="AG27" i="11"/>
  <c r="AH27" i="11" s="1"/>
  <c r="AE27" i="11"/>
  <c r="AF27" i="11" s="1"/>
  <c r="AB27" i="11"/>
  <c r="X27" i="11"/>
  <c r="W27" i="11"/>
  <c r="V27" i="11"/>
  <c r="U27" i="11"/>
  <c r="T27" i="11"/>
  <c r="S27" i="11"/>
  <c r="G27" i="11"/>
  <c r="E27" i="11"/>
  <c r="E26" i="11"/>
  <c r="D27" i="11"/>
  <c r="N28" i="11" s="1"/>
  <c r="O28" i="11" s="1"/>
  <c r="C27" i="11"/>
  <c r="AJ55" i="9"/>
  <c r="AG55" i="9"/>
  <c r="AH55" i="9" s="1"/>
  <c r="AE55" i="9"/>
  <c r="AF55" i="9" s="1"/>
  <c r="AB55" i="9"/>
  <c r="AC55" i="9" s="1"/>
  <c r="X55" i="9"/>
  <c r="W55" i="9"/>
  <c r="V55" i="9"/>
  <c r="U55" i="9"/>
  <c r="T55" i="9"/>
  <c r="S55" i="9"/>
  <c r="D55" i="9"/>
  <c r="AR55" i="9" s="1"/>
  <c r="C55" i="9"/>
  <c r="AG81" i="7"/>
  <c r="AH81" i="7" s="1"/>
  <c r="AE81" i="7"/>
  <c r="AF81" i="7" s="1"/>
  <c r="AB81" i="7"/>
  <c r="AJ81" i="7" s="1"/>
  <c r="M82" i="7"/>
  <c r="N82" i="7" s="1"/>
  <c r="Q93" i="7" s="1"/>
  <c r="AH126" i="2"/>
  <c r="AE126" i="2"/>
  <c r="AF126" i="2" s="1"/>
  <c r="AB126" i="2"/>
  <c r="Y126" i="2"/>
  <c r="X126" i="2"/>
  <c r="W126" i="2"/>
  <c r="V126" i="2"/>
  <c r="U126" i="2"/>
  <c r="T126" i="2"/>
  <c r="S126" i="2"/>
  <c r="D126" i="2"/>
  <c r="C126" i="2"/>
  <c r="AL169" i="1"/>
  <c r="AF169" i="1"/>
  <c r="AC169" i="1"/>
  <c r="AB169" i="1"/>
  <c r="AA169" i="1"/>
  <c r="Z169" i="1"/>
  <c r="Y169" i="1"/>
  <c r="X169" i="1"/>
  <c r="W169" i="1"/>
  <c r="I169" i="1"/>
  <c r="E169" i="1"/>
  <c r="D169" i="1"/>
  <c r="Q33" i="11" l="1"/>
  <c r="R39" i="11"/>
  <c r="S173" i="1"/>
  <c r="T182" i="1"/>
  <c r="AO27" i="13"/>
  <c r="AP55" i="9"/>
  <c r="AQ55" i="9"/>
  <c r="AM27" i="11"/>
  <c r="AO81" i="7"/>
  <c r="AN55" i="9"/>
  <c r="AL55" i="9"/>
  <c r="H170" i="1"/>
  <c r="AM55" i="9"/>
  <c r="AI55" i="9"/>
  <c r="AP27" i="13"/>
  <c r="AN126" i="2"/>
  <c r="AP27" i="11"/>
  <c r="F27" i="13"/>
  <c r="AL27" i="13"/>
  <c r="AR27" i="13"/>
  <c r="AO55" i="9"/>
  <c r="Q170" i="1"/>
  <c r="R170" i="1" s="1"/>
  <c r="AL126" i="2"/>
  <c r="AL27" i="11"/>
  <c r="AI27" i="11"/>
  <c r="AN27" i="11"/>
  <c r="AI27" i="13"/>
  <c r="Q62" i="9"/>
  <c r="P59" i="9"/>
  <c r="P30" i="13"/>
  <c r="Q33" i="13"/>
  <c r="O84" i="7"/>
  <c r="P87" i="7"/>
  <c r="F55" i="9"/>
  <c r="N56" i="9"/>
  <c r="O56" i="9" s="1"/>
  <c r="R67" i="9" s="1"/>
  <c r="AQ27" i="13"/>
  <c r="P30" i="11"/>
  <c r="AQ27" i="11"/>
  <c r="F27" i="11"/>
  <c r="AR27" i="11"/>
  <c r="AL81" i="7"/>
  <c r="AR81" i="7"/>
  <c r="AP81" i="7"/>
  <c r="AQ81" i="7"/>
  <c r="AM81" i="7"/>
  <c r="AG126" i="2"/>
  <c r="M127" i="2"/>
  <c r="N127" i="2" s="1"/>
  <c r="Q138" i="2" s="1"/>
  <c r="AK27" i="13"/>
  <c r="AM27" i="13"/>
  <c r="AN27" i="13"/>
  <c r="AC27" i="13"/>
  <c r="AK27" i="11"/>
  <c r="AO27" i="11"/>
  <c r="AC27" i="11"/>
  <c r="AK55" i="9"/>
  <c r="AN81" i="7"/>
  <c r="AK81" i="7"/>
  <c r="AC81" i="7"/>
  <c r="AI81" i="7"/>
  <c r="E81" i="7"/>
  <c r="AD81" i="7"/>
  <c r="AM126" i="2"/>
  <c r="AO126" i="2"/>
  <c r="E126" i="2"/>
  <c r="AC126" i="2"/>
  <c r="AI126" i="2"/>
  <c r="AP126" i="2"/>
  <c r="AK126" i="2"/>
  <c r="AQ126" i="2"/>
  <c r="AT169" i="1"/>
  <c r="AQ169" i="1"/>
  <c r="AH169" i="1"/>
  <c r="S172" i="1" l="1"/>
  <c r="T181" i="1"/>
  <c r="P58" i="9"/>
  <c r="Q61" i="9"/>
  <c r="O129" i="2"/>
  <c r="P132" i="2"/>
  <c r="AS169" i="1"/>
  <c r="AR169" i="1"/>
  <c r="AK169" i="1"/>
  <c r="AO169" i="1"/>
  <c r="G169" i="1"/>
  <c r="AP169" i="1"/>
  <c r="AG169" i="1"/>
  <c r="AM169" i="1"/>
  <c r="AJ26" i="13"/>
  <c r="AG26" i="13"/>
  <c r="AH26" i="13" s="1"/>
  <c r="AE26" i="13"/>
  <c r="AF26" i="13" s="1"/>
  <c r="Y26" i="13"/>
  <c r="Z27" i="13" s="1"/>
  <c r="X26" i="13"/>
  <c r="W26" i="13"/>
  <c r="V26" i="13"/>
  <c r="U26" i="13"/>
  <c r="T26" i="13"/>
  <c r="S26" i="13"/>
  <c r="E26" i="13"/>
  <c r="D26" i="13"/>
  <c r="C25" i="13"/>
  <c r="C26" i="13"/>
  <c r="AJ26" i="11"/>
  <c r="AG26" i="11"/>
  <c r="AH26" i="11" s="1"/>
  <c r="AE26" i="11"/>
  <c r="AF26" i="11" s="1"/>
  <c r="AB26" i="11"/>
  <c r="AC26" i="11" s="1"/>
  <c r="Y26" i="11"/>
  <c r="X26" i="11"/>
  <c r="W26" i="11"/>
  <c r="V26" i="11"/>
  <c r="U26" i="11"/>
  <c r="T26" i="11"/>
  <c r="S26" i="11"/>
  <c r="G26" i="11"/>
  <c r="D26" i="11"/>
  <c r="N27" i="11" s="1"/>
  <c r="O27" i="11" s="1"/>
  <c r="R38" i="11" s="1"/>
  <c r="C26" i="11"/>
  <c r="AJ54" i="9"/>
  <c r="AG54" i="9"/>
  <c r="AE54" i="9"/>
  <c r="AF54" i="9" s="1"/>
  <c r="AB54" i="9"/>
  <c r="AC54" i="9" s="1"/>
  <c r="Y54" i="9"/>
  <c r="X54" i="9"/>
  <c r="W54" i="9"/>
  <c r="V54" i="9"/>
  <c r="U54" i="9"/>
  <c r="T54" i="9"/>
  <c r="S54" i="9"/>
  <c r="G54" i="9"/>
  <c r="D54" i="9"/>
  <c r="C54" i="9"/>
  <c r="AH54" i="9"/>
  <c r="AG80" i="7"/>
  <c r="AH80" i="7" s="1"/>
  <c r="AE80" i="7"/>
  <c r="AF80" i="7" s="1"/>
  <c r="AB80" i="7"/>
  <c r="AD80" i="7" s="1"/>
  <c r="Y80" i="7"/>
  <c r="R80" i="7"/>
  <c r="F80" i="7"/>
  <c r="D80" i="7"/>
  <c r="M81" i="7" s="1"/>
  <c r="N81" i="7" s="1"/>
  <c r="C80" i="7"/>
  <c r="AH125" i="2"/>
  <c r="AE125" i="2"/>
  <c r="AF125" i="2" s="1"/>
  <c r="AB125" i="2"/>
  <c r="X125" i="2"/>
  <c r="W125" i="2"/>
  <c r="V125" i="2"/>
  <c r="U125" i="2"/>
  <c r="T125" i="2"/>
  <c r="C124" i="2"/>
  <c r="S125" i="2"/>
  <c r="D125" i="2"/>
  <c r="C125" i="2"/>
  <c r="AL168" i="1"/>
  <c r="AF168" i="1"/>
  <c r="AC168" i="1"/>
  <c r="AB168" i="1"/>
  <c r="AA168" i="1"/>
  <c r="Z168" i="1"/>
  <c r="Y168" i="1"/>
  <c r="X168" i="1"/>
  <c r="W168" i="1"/>
  <c r="I168" i="1"/>
  <c r="E168" i="1"/>
  <c r="D168" i="1"/>
  <c r="C156" i="1"/>
  <c r="C155" i="1"/>
  <c r="C24" i="13"/>
  <c r="P86" i="7" l="1"/>
  <c r="Q92" i="7"/>
  <c r="AL125" i="2"/>
  <c r="AP54" i="9"/>
  <c r="AQ26" i="13"/>
  <c r="AN125" i="2"/>
  <c r="AM168" i="1"/>
  <c r="AL26" i="13"/>
  <c r="AM125" i="2"/>
  <c r="E80" i="7"/>
  <c r="AR26" i="13"/>
  <c r="AO80" i="7"/>
  <c r="AK125" i="2"/>
  <c r="F26" i="11"/>
  <c r="AQ125" i="2"/>
  <c r="AO54" i="9"/>
  <c r="N55" i="9"/>
  <c r="O55" i="9" s="1"/>
  <c r="R66" i="9" s="1"/>
  <c r="AP168" i="1"/>
  <c r="AL80" i="7"/>
  <c r="F26" i="13"/>
  <c r="N27" i="13"/>
  <c r="O27" i="13" s="1"/>
  <c r="R38" i="13" s="1"/>
  <c r="AM80" i="7"/>
  <c r="AP125" i="2"/>
  <c r="F54" i="9"/>
  <c r="P29" i="11"/>
  <c r="Q32" i="11"/>
  <c r="Z28" i="13"/>
  <c r="AA27" i="13"/>
  <c r="AN80" i="7"/>
  <c r="AC80" i="7"/>
  <c r="O83" i="7"/>
  <c r="AP80" i="7"/>
  <c r="AI80" i="7"/>
  <c r="AJ80" i="7"/>
  <c r="AK80" i="7" s="1"/>
  <c r="AR80" i="7"/>
  <c r="AG125" i="2"/>
  <c r="M126" i="2"/>
  <c r="N126" i="2" s="1"/>
  <c r="Q137" i="2" s="1"/>
  <c r="H169" i="1"/>
  <c r="Q169" i="1"/>
  <c r="R169" i="1" s="1"/>
  <c r="AS168" i="1"/>
  <c r="AC26" i="13"/>
  <c r="AK26" i="13"/>
  <c r="AN26" i="13"/>
  <c r="AO26" i="13"/>
  <c r="AI26" i="13"/>
  <c r="AM26" i="13"/>
  <c r="AP26" i="13"/>
  <c r="AO26" i="11"/>
  <c r="AQ26" i="11"/>
  <c r="AP26" i="11"/>
  <c r="AL26" i="11"/>
  <c r="AR26" i="11"/>
  <c r="AI26" i="11"/>
  <c r="AM26" i="11"/>
  <c r="AK26" i="11"/>
  <c r="AN26" i="11"/>
  <c r="AQ54" i="9"/>
  <c r="AL54" i="9"/>
  <c r="AR54" i="9"/>
  <c r="AI54" i="9"/>
  <c r="AM54" i="9"/>
  <c r="AK54" i="9"/>
  <c r="AN54" i="9"/>
  <c r="AQ80" i="7"/>
  <c r="AO125" i="2"/>
  <c r="E125" i="2"/>
  <c r="AC125" i="2"/>
  <c r="AI125" i="2"/>
  <c r="AQ168" i="1"/>
  <c r="G168" i="1"/>
  <c r="AK168" i="1"/>
  <c r="AR168" i="1"/>
  <c r="AG168" i="1"/>
  <c r="AT168" i="1"/>
  <c r="AH168" i="1"/>
  <c r="AO168" i="1"/>
  <c r="AJ25" i="13"/>
  <c r="AJ24" i="13"/>
  <c r="AG25" i="13"/>
  <c r="AH25" i="13" s="1"/>
  <c r="AG24" i="13"/>
  <c r="AH24" i="13" s="1"/>
  <c r="AE25" i="13"/>
  <c r="AF25" i="13" s="1"/>
  <c r="AE24" i="13"/>
  <c r="AF24" i="13" s="1"/>
  <c r="AB24" i="13"/>
  <c r="Y25" i="13"/>
  <c r="Z26" i="13" s="1"/>
  <c r="AA26" i="13" s="1"/>
  <c r="Y24" i="13"/>
  <c r="X25" i="13"/>
  <c r="X24" i="13"/>
  <c r="W25" i="13"/>
  <c r="W24" i="13"/>
  <c r="V25" i="13"/>
  <c r="V24" i="13"/>
  <c r="U25" i="13"/>
  <c r="U24" i="13"/>
  <c r="T25" i="13"/>
  <c r="T24" i="13"/>
  <c r="S25" i="13"/>
  <c r="S24" i="13"/>
  <c r="G25" i="13"/>
  <c r="G24" i="13"/>
  <c r="E25" i="13"/>
  <c r="E24" i="13"/>
  <c r="D25" i="13"/>
  <c r="N26" i="13" s="1"/>
  <c r="O26" i="13" s="1"/>
  <c r="R37" i="13" s="1"/>
  <c r="D24" i="13"/>
  <c r="AJ25" i="11"/>
  <c r="AG25" i="11"/>
  <c r="AH25" i="11" s="1"/>
  <c r="AE25" i="11"/>
  <c r="AF25" i="11" s="1"/>
  <c r="AB25" i="11"/>
  <c r="Y25" i="11"/>
  <c r="X25" i="11"/>
  <c r="W25" i="11"/>
  <c r="V25" i="11"/>
  <c r="U25" i="11"/>
  <c r="T25" i="11"/>
  <c r="S25" i="11"/>
  <c r="G25" i="11"/>
  <c r="E25" i="11"/>
  <c r="D25" i="11"/>
  <c r="N26" i="11" s="1"/>
  <c r="O26" i="11" s="1"/>
  <c r="R37" i="11" s="1"/>
  <c r="C25" i="11"/>
  <c r="AJ53" i="9"/>
  <c r="AG53" i="9"/>
  <c r="AH53" i="9" s="1"/>
  <c r="AE53" i="9"/>
  <c r="AF53" i="9" s="1"/>
  <c r="AB53" i="9"/>
  <c r="Y53" i="9"/>
  <c r="X53" i="9"/>
  <c r="W53" i="9"/>
  <c r="V53" i="9"/>
  <c r="U53" i="9"/>
  <c r="T53" i="9"/>
  <c r="S53" i="9"/>
  <c r="G53" i="9"/>
  <c r="D53" i="9"/>
  <c r="N54" i="9" s="1"/>
  <c r="O54" i="9" s="1"/>
  <c r="R65" i="9" s="1"/>
  <c r="C53" i="9"/>
  <c r="AG79" i="7"/>
  <c r="AH79" i="7" s="1"/>
  <c r="AE79" i="7"/>
  <c r="AF79" i="7" s="1"/>
  <c r="AB79" i="7"/>
  <c r="AD79" i="7" s="1"/>
  <c r="Y79" i="7"/>
  <c r="X79" i="7"/>
  <c r="W79" i="7"/>
  <c r="V79" i="7"/>
  <c r="U79" i="7"/>
  <c r="T79" i="7"/>
  <c r="S79" i="7"/>
  <c r="R79" i="7"/>
  <c r="F79" i="7"/>
  <c r="D79" i="7"/>
  <c r="M80" i="7" s="1"/>
  <c r="N80" i="7" s="1"/>
  <c r="Q91" i="7" s="1"/>
  <c r="C79" i="7"/>
  <c r="AH124" i="2"/>
  <c r="AE124" i="2"/>
  <c r="AF124" i="2" s="1"/>
  <c r="AB124" i="2"/>
  <c r="X124" i="2"/>
  <c r="W124" i="2"/>
  <c r="V124" i="2"/>
  <c r="U124" i="2"/>
  <c r="T124" i="2"/>
  <c r="S124" i="2"/>
  <c r="D124" i="2"/>
  <c r="M125" i="2" s="1"/>
  <c r="N125" i="2" s="1"/>
  <c r="AL167" i="1"/>
  <c r="AF167" i="1"/>
  <c r="AC167" i="1"/>
  <c r="AB167" i="1"/>
  <c r="AA167" i="1"/>
  <c r="Z167" i="1"/>
  <c r="Y167" i="1"/>
  <c r="X167" i="1"/>
  <c r="W167" i="1"/>
  <c r="I167" i="1"/>
  <c r="E167" i="1"/>
  <c r="D167" i="1"/>
  <c r="Q136" i="2" l="1"/>
  <c r="S171" i="1"/>
  <c r="T180" i="1"/>
  <c r="AR25" i="13"/>
  <c r="AJ79" i="7"/>
  <c r="AN24" i="13"/>
  <c r="Q31" i="13"/>
  <c r="AN25" i="11"/>
  <c r="N25" i="13"/>
  <c r="O25" i="13" s="1"/>
  <c r="AL24" i="13"/>
  <c r="Z25" i="13"/>
  <c r="AA25" i="13" s="1"/>
  <c r="AL25" i="13"/>
  <c r="AM25" i="13"/>
  <c r="AP25" i="13"/>
  <c r="Q59" i="9"/>
  <c r="P56" i="9"/>
  <c r="O82" i="7"/>
  <c r="P85" i="7"/>
  <c r="Z29" i="13"/>
  <c r="AA28" i="13"/>
  <c r="AR24" i="13"/>
  <c r="AQ24" i="13"/>
  <c r="AN124" i="2"/>
  <c r="F24" i="13"/>
  <c r="AQ25" i="13"/>
  <c r="P29" i="13"/>
  <c r="Q32" i="13"/>
  <c r="AO24" i="13"/>
  <c r="Q60" i="9"/>
  <c r="P57" i="9"/>
  <c r="P28" i="11"/>
  <c r="Q31" i="11"/>
  <c r="AM24" i="13"/>
  <c r="AO25" i="13"/>
  <c r="P28" i="13"/>
  <c r="O128" i="2"/>
  <c r="P131" i="2"/>
  <c r="O127" i="2"/>
  <c r="P130" i="2"/>
  <c r="AO25" i="11"/>
  <c r="AP25" i="11"/>
  <c r="AR25" i="11"/>
  <c r="AL25" i="11"/>
  <c r="AI25" i="11"/>
  <c r="AM25" i="11"/>
  <c r="AQ25" i="11"/>
  <c r="H168" i="1"/>
  <c r="Q168" i="1"/>
  <c r="R168" i="1" s="1"/>
  <c r="AR79" i="7"/>
  <c r="AK24" i="13"/>
  <c r="AI24" i="13"/>
  <c r="AN25" i="13"/>
  <c r="AP24" i="13"/>
  <c r="AC25" i="13"/>
  <c r="AI25" i="13"/>
  <c r="F25" i="13"/>
  <c r="AK25" i="13"/>
  <c r="AC24" i="13"/>
  <c r="AC25" i="11"/>
  <c r="AK25" i="11"/>
  <c r="F25" i="11"/>
  <c r="AL53" i="9"/>
  <c r="AR53" i="9"/>
  <c r="AO53" i="9"/>
  <c r="AQ53" i="9"/>
  <c r="AK53" i="9"/>
  <c r="AN53" i="9"/>
  <c r="AP53" i="9"/>
  <c r="AM53" i="9"/>
  <c r="AC53" i="9"/>
  <c r="AI53" i="9"/>
  <c r="F53" i="9"/>
  <c r="AQ79" i="7"/>
  <c r="AM79" i="7"/>
  <c r="AN79" i="7"/>
  <c r="AI79" i="7"/>
  <c r="AL79" i="7"/>
  <c r="AK79" i="7"/>
  <c r="AO79" i="7"/>
  <c r="AP79" i="7"/>
  <c r="E79" i="7"/>
  <c r="AC79" i="7"/>
  <c r="AP124" i="2"/>
  <c r="AK124" i="2"/>
  <c r="AQ124" i="2"/>
  <c r="AL124" i="2"/>
  <c r="AM124" i="2"/>
  <c r="AG124" i="2"/>
  <c r="AO124" i="2"/>
  <c r="E124" i="2"/>
  <c r="AC124" i="2"/>
  <c r="AI124" i="2"/>
  <c r="AT167" i="1"/>
  <c r="AQ167" i="1"/>
  <c r="AO167" i="1"/>
  <c r="AR167" i="1"/>
  <c r="AP167" i="1"/>
  <c r="AS167" i="1"/>
  <c r="G167" i="1"/>
  <c r="AK167" i="1"/>
  <c r="AH167" i="1"/>
  <c r="AG167" i="1"/>
  <c r="AM167" i="1"/>
  <c r="AJ24" i="11"/>
  <c r="AG24" i="11"/>
  <c r="AH24" i="11" s="1"/>
  <c r="AE24" i="11"/>
  <c r="AF24" i="11" s="1"/>
  <c r="AB24" i="11"/>
  <c r="Y24" i="11"/>
  <c r="X24" i="11"/>
  <c r="W24" i="11"/>
  <c r="V24" i="11"/>
  <c r="U24" i="11"/>
  <c r="T24" i="11"/>
  <c r="S24" i="11"/>
  <c r="G24" i="11"/>
  <c r="E24" i="11"/>
  <c r="D24" i="11"/>
  <c r="N25" i="11" s="1"/>
  <c r="O25" i="11" s="1"/>
  <c r="R36" i="11" s="1"/>
  <c r="C24" i="11"/>
  <c r="AJ52" i="9"/>
  <c r="AG52" i="9"/>
  <c r="AH52" i="9" s="1"/>
  <c r="AE52" i="9"/>
  <c r="AF52" i="9" s="1"/>
  <c r="AB52" i="9"/>
  <c r="AC52" i="9" s="1"/>
  <c r="Y52" i="9"/>
  <c r="X52" i="9"/>
  <c r="W52" i="9"/>
  <c r="V52" i="9"/>
  <c r="U52" i="9"/>
  <c r="T52" i="9"/>
  <c r="S52" i="9"/>
  <c r="G52" i="9"/>
  <c r="D52" i="9"/>
  <c r="AO52" i="9" s="1"/>
  <c r="C52" i="9"/>
  <c r="AG78" i="7"/>
  <c r="AH78" i="7" s="1"/>
  <c r="AE78" i="7"/>
  <c r="AF78" i="7" s="1"/>
  <c r="AB78" i="7"/>
  <c r="AD78" i="7" s="1"/>
  <c r="Y78" i="7"/>
  <c r="X78" i="7"/>
  <c r="W78" i="7"/>
  <c r="V78" i="7"/>
  <c r="U78" i="7"/>
  <c r="T78" i="7"/>
  <c r="S78" i="7"/>
  <c r="R78" i="7"/>
  <c r="F78" i="7"/>
  <c r="D78" i="7"/>
  <c r="C78" i="7"/>
  <c r="AH122" i="2"/>
  <c r="AH123" i="2"/>
  <c r="AE123" i="2"/>
  <c r="AF123" i="2" s="1"/>
  <c r="AB123" i="2"/>
  <c r="X123" i="2"/>
  <c r="W123" i="2"/>
  <c r="V123" i="2"/>
  <c r="U123" i="2"/>
  <c r="T123" i="2"/>
  <c r="S123" i="2"/>
  <c r="D123" i="2"/>
  <c r="E123" i="2" s="1"/>
  <c r="C123" i="2"/>
  <c r="AL166" i="1"/>
  <c r="AF166" i="1"/>
  <c r="AC166" i="1"/>
  <c r="AB166" i="1"/>
  <c r="AA166" i="1"/>
  <c r="Z166" i="1"/>
  <c r="Y166" i="1"/>
  <c r="X166" i="1"/>
  <c r="W166" i="1"/>
  <c r="I166" i="1"/>
  <c r="E166" i="1"/>
  <c r="D165" i="1"/>
  <c r="D166" i="1"/>
  <c r="S170" i="1" l="1"/>
  <c r="T179" i="1"/>
  <c r="AP78" i="7"/>
  <c r="Q30" i="13"/>
  <c r="R36" i="13"/>
  <c r="E78" i="7"/>
  <c r="AL52" i="9"/>
  <c r="F52" i="9"/>
  <c r="AN24" i="11"/>
  <c r="AO78" i="7"/>
  <c r="AN52" i="9"/>
  <c r="H167" i="1"/>
  <c r="AP52" i="9"/>
  <c r="AK52" i="9"/>
  <c r="AL24" i="11"/>
  <c r="AR24" i="11"/>
  <c r="P27" i="13"/>
  <c r="AL78" i="7"/>
  <c r="AI52" i="9"/>
  <c r="F24" i="11"/>
  <c r="AM24" i="11"/>
  <c r="AP24" i="11"/>
  <c r="AQ78" i="7"/>
  <c r="AQ24" i="11"/>
  <c r="AK123" i="2"/>
  <c r="AQ123" i="2"/>
  <c r="AI78" i="7"/>
  <c r="AL123" i="2"/>
  <c r="AN78" i="7"/>
  <c r="AP166" i="1"/>
  <c r="AM166" i="1"/>
  <c r="AM123" i="2"/>
  <c r="AN123" i="2"/>
  <c r="AM52" i="9"/>
  <c r="N53" i="9"/>
  <c r="O53" i="9" s="1"/>
  <c r="R64" i="9" s="1"/>
  <c r="Z30" i="13"/>
  <c r="AA29" i="13"/>
  <c r="Q30" i="11"/>
  <c r="P27" i="11"/>
  <c r="AO24" i="11"/>
  <c r="AM78" i="7"/>
  <c r="M79" i="7"/>
  <c r="N79" i="7" s="1"/>
  <c r="Q90" i="7" s="1"/>
  <c r="AC78" i="7"/>
  <c r="AJ78" i="7"/>
  <c r="AK78" i="7" s="1"/>
  <c r="M124" i="2"/>
  <c r="N124" i="2" s="1"/>
  <c r="Q135" i="2" s="1"/>
  <c r="AO123" i="2"/>
  <c r="AP123" i="2"/>
  <c r="Q167" i="1"/>
  <c r="R167" i="1" s="1"/>
  <c r="AT166" i="1"/>
  <c r="AS166" i="1"/>
  <c r="AR166" i="1"/>
  <c r="AK24" i="11"/>
  <c r="AI24" i="11"/>
  <c r="AC24" i="11"/>
  <c r="AQ52" i="9"/>
  <c r="AR52" i="9"/>
  <c r="AR78" i="7"/>
  <c r="AG123" i="2"/>
  <c r="AC123" i="2"/>
  <c r="AI123" i="2"/>
  <c r="AQ166" i="1"/>
  <c r="G166" i="1"/>
  <c r="AH166" i="1"/>
  <c r="AO166" i="1"/>
  <c r="AK166" i="1"/>
  <c r="AG166" i="1"/>
  <c r="AJ23" i="13"/>
  <c r="AG23" i="13"/>
  <c r="AH23" i="13" s="1"/>
  <c r="AE23" i="13"/>
  <c r="AF23" i="13" s="1"/>
  <c r="AB23" i="13"/>
  <c r="AB22" i="13"/>
  <c r="Y23" i="13"/>
  <c r="X23" i="13"/>
  <c r="W23" i="13"/>
  <c r="V23" i="13"/>
  <c r="U23" i="13"/>
  <c r="T23" i="13"/>
  <c r="S23" i="13"/>
  <c r="G23" i="13"/>
  <c r="E23" i="13"/>
  <c r="D23" i="13"/>
  <c r="N24" i="13" s="1"/>
  <c r="O24" i="13" s="1"/>
  <c r="R35" i="13" s="1"/>
  <c r="C23" i="13"/>
  <c r="AJ23" i="11"/>
  <c r="AG23" i="11"/>
  <c r="AH23" i="11" s="1"/>
  <c r="AE23" i="11"/>
  <c r="AF23" i="11" s="1"/>
  <c r="AB23" i="11"/>
  <c r="Y23" i="11"/>
  <c r="X23" i="11"/>
  <c r="W23" i="11"/>
  <c r="V23" i="11"/>
  <c r="U23" i="11"/>
  <c r="T23" i="11"/>
  <c r="S23" i="11"/>
  <c r="G23" i="11"/>
  <c r="E23" i="11"/>
  <c r="D23" i="11"/>
  <c r="N24" i="11" s="1"/>
  <c r="O24" i="11" s="1"/>
  <c r="R35" i="11" s="1"/>
  <c r="C23" i="11"/>
  <c r="AJ51" i="9"/>
  <c r="AG51" i="9"/>
  <c r="AH51" i="9" s="1"/>
  <c r="AE51" i="9"/>
  <c r="AF51" i="9" s="1"/>
  <c r="AB51" i="9"/>
  <c r="AC51" i="9" s="1"/>
  <c r="Y51" i="9"/>
  <c r="X51" i="9"/>
  <c r="W51" i="9"/>
  <c r="V51" i="9"/>
  <c r="U51" i="9"/>
  <c r="T51" i="9"/>
  <c r="S51" i="9"/>
  <c r="G51" i="9"/>
  <c r="D51" i="9"/>
  <c r="N52" i="9" s="1"/>
  <c r="O52" i="9" s="1"/>
  <c r="R63" i="9" s="1"/>
  <c r="C51" i="9"/>
  <c r="AI51" i="9"/>
  <c r="AG77" i="7"/>
  <c r="AH77" i="7" s="1"/>
  <c r="AE77" i="7"/>
  <c r="AF77" i="7" s="1"/>
  <c r="AB77" i="7"/>
  <c r="AD77" i="7" s="1"/>
  <c r="Y77" i="7"/>
  <c r="X77" i="7"/>
  <c r="W77" i="7"/>
  <c r="V77" i="7"/>
  <c r="U77" i="7"/>
  <c r="T77" i="7"/>
  <c r="S77" i="7"/>
  <c r="R77" i="7"/>
  <c r="F77" i="7"/>
  <c r="D77" i="7"/>
  <c r="M78" i="7" s="1"/>
  <c r="N78" i="7" s="1"/>
  <c r="Q89" i="7" s="1"/>
  <c r="C77" i="7"/>
  <c r="AE122" i="2"/>
  <c r="AF122" i="2" s="1"/>
  <c r="AB122" i="2"/>
  <c r="X122" i="2"/>
  <c r="W122" i="2"/>
  <c r="V122" i="2"/>
  <c r="U122" i="2"/>
  <c r="T122" i="2"/>
  <c r="S122" i="2"/>
  <c r="D122" i="2"/>
  <c r="C122" i="2"/>
  <c r="AL165" i="1"/>
  <c r="AF165" i="1"/>
  <c r="AC165" i="1"/>
  <c r="AB165" i="1"/>
  <c r="AA165" i="1"/>
  <c r="Z165" i="1"/>
  <c r="Y165" i="1"/>
  <c r="X165" i="1"/>
  <c r="W165" i="1"/>
  <c r="I165" i="1"/>
  <c r="E165" i="1"/>
  <c r="AP51" i="9" l="1"/>
  <c r="S169" i="1"/>
  <c r="U184" i="1"/>
  <c r="T178" i="1"/>
  <c r="AR51" i="9"/>
  <c r="AN77" i="7"/>
  <c r="F51" i="9"/>
  <c r="AL51" i="9"/>
  <c r="AM51" i="9"/>
  <c r="AL23" i="11"/>
  <c r="AR23" i="11"/>
  <c r="AS165" i="1"/>
  <c r="AK122" i="2"/>
  <c r="E77" i="7"/>
  <c r="AQ51" i="9"/>
  <c r="AO51" i="9"/>
  <c r="AL23" i="13"/>
  <c r="AN51" i="9"/>
  <c r="AR165" i="1"/>
  <c r="AN23" i="13"/>
  <c r="AI23" i="13"/>
  <c r="Q57" i="9"/>
  <c r="P54" i="9"/>
  <c r="AO23" i="13"/>
  <c r="AM23" i="13"/>
  <c r="AP23" i="13"/>
  <c r="F23" i="13"/>
  <c r="AQ23" i="13"/>
  <c r="AO165" i="1"/>
  <c r="AM122" i="2"/>
  <c r="AR23" i="13"/>
  <c r="Z24" i="13"/>
  <c r="AA24" i="13" s="1"/>
  <c r="Q58" i="9"/>
  <c r="P55" i="9"/>
  <c r="P26" i="13"/>
  <c r="Q29" i="13"/>
  <c r="AN122" i="2"/>
  <c r="AK51" i="9"/>
  <c r="Z31" i="13"/>
  <c r="AA30" i="13"/>
  <c r="AM23" i="11"/>
  <c r="AI23" i="11"/>
  <c r="AN23" i="11"/>
  <c r="Q29" i="11"/>
  <c r="P26" i="11"/>
  <c r="AP23" i="11"/>
  <c r="AM77" i="7"/>
  <c r="P83" i="7"/>
  <c r="O80" i="7"/>
  <c r="AO77" i="7"/>
  <c r="P84" i="7"/>
  <c r="O81" i="7"/>
  <c r="AP77" i="7"/>
  <c r="P129" i="2"/>
  <c r="O126" i="2"/>
  <c r="AQ122" i="2"/>
  <c r="AL122" i="2"/>
  <c r="M123" i="2"/>
  <c r="N123" i="2" s="1"/>
  <c r="Q134" i="2" s="1"/>
  <c r="G165" i="1"/>
  <c r="H166" i="1"/>
  <c r="Q166" i="1"/>
  <c r="R166" i="1" s="1"/>
  <c r="U183" i="1" s="1"/>
  <c r="AK23" i="13"/>
  <c r="AC23" i="13"/>
  <c r="AK23" i="11"/>
  <c r="AO23" i="11"/>
  <c r="AQ23" i="11"/>
  <c r="F23" i="11"/>
  <c r="AC23" i="11"/>
  <c r="AJ77" i="7"/>
  <c r="AK77" i="7" s="1"/>
  <c r="AC77" i="7"/>
  <c r="AI77" i="7"/>
  <c r="AQ77" i="7"/>
  <c r="AL77" i="7"/>
  <c r="AR77" i="7"/>
  <c r="AI122" i="2"/>
  <c r="AC122" i="2"/>
  <c r="AO122" i="2"/>
  <c r="AP122" i="2"/>
  <c r="AG122" i="2"/>
  <c r="E122" i="2"/>
  <c r="AP165" i="1"/>
  <c r="AK165" i="1"/>
  <c r="AG165" i="1"/>
  <c r="AM165" i="1"/>
  <c r="AT165" i="1"/>
  <c r="AH165" i="1"/>
  <c r="AQ165" i="1"/>
  <c r="AJ22" i="13"/>
  <c r="AG22" i="13"/>
  <c r="AH22" i="13" s="1"/>
  <c r="AE22" i="13"/>
  <c r="AF22" i="13" s="1"/>
  <c r="Y22" i="13"/>
  <c r="Z23" i="13" s="1"/>
  <c r="AA23" i="13" s="1"/>
  <c r="X22" i="13"/>
  <c r="W22" i="13"/>
  <c r="V22" i="13"/>
  <c r="U22" i="13"/>
  <c r="T22" i="13"/>
  <c r="S22" i="13"/>
  <c r="G22" i="13"/>
  <c r="E22" i="13"/>
  <c r="D22" i="13"/>
  <c r="F22" i="13" s="1"/>
  <c r="C22" i="13"/>
  <c r="AJ22" i="11"/>
  <c r="AG22" i="11"/>
  <c r="AH22" i="11" s="1"/>
  <c r="AE22" i="11"/>
  <c r="AF22" i="11" s="1"/>
  <c r="AB22" i="11"/>
  <c r="Y22" i="11"/>
  <c r="X22" i="11"/>
  <c r="W22" i="11"/>
  <c r="V22" i="11"/>
  <c r="U22" i="11"/>
  <c r="T22" i="11"/>
  <c r="S22" i="11"/>
  <c r="G22" i="11"/>
  <c r="E22" i="11"/>
  <c r="D22" i="11"/>
  <c r="C22" i="11"/>
  <c r="AJ50" i="9"/>
  <c r="AG50" i="9"/>
  <c r="AH50" i="9" s="1"/>
  <c r="AE50" i="9"/>
  <c r="AF50" i="9" s="1"/>
  <c r="AB50" i="9"/>
  <c r="Y50" i="9"/>
  <c r="X50" i="9"/>
  <c r="W50" i="9"/>
  <c r="V50" i="9"/>
  <c r="U50" i="9"/>
  <c r="T50" i="9"/>
  <c r="S50" i="9"/>
  <c r="G50" i="9"/>
  <c r="D50" i="9"/>
  <c r="N51" i="9" s="1"/>
  <c r="O51" i="9" s="1"/>
  <c r="C50" i="9"/>
  <c r="AG76" i="7"/>
  <c r="AH76" i="7" s="1"/>
  <c r="AE76" i="7"/>
  <c r="AF76" i="7" s="1"/>
  <c r="AB76" i="7"/>
  <c r="AJ76" i="7" s="1"/>
  <c r="Y76" i="7"/>
  <c r="X76" i="7"/>
  <c r="W76" i="7"/>
  <c r="V76" i="7"/>
  <c r="U76" i="7"/>
  <c r="T76" i="7"/>
  <c r="S76" i="7"/>
  <c r="R76" i="7"/>
  <c r="F76" i="7"/>
  <c r="D76" i="7"/>
  <c r="C76" i="7"/>
  <c r="AH121" i="2"/>
  <c r="AE121" i="2"/>
  <c r="AF121" i="2" s="1"/>
  <c r="AB121" i="2"/>
  <c r="X121" i="2"/>
  <c r="W121" i="2"/>
  <c r="V121" i="2"/>
  <c r="U121" i="2"/>
  <c r="T121" i="2"/>
  <c r="S121" i="2"/>
  <c r="D121" i="2"/>
  <c r="AP121" i="2" s="1"/>
  <c r="C121" i="2"/>
  <c r="AL164" i="1"/>
  <c r="AF164" i="1"/>
  <c r="AH164" i="1" s="1"/>
  <c r="AC164" i="1"/>
  <c r="AB164" i="1"/>
  <c r="AA164" i="1"/>
  <c r="Z164" i="1"/>
  <c r="Y164" i="1"/>
  <c r="X164" i="1"/>
  <c r="W164" i="1"/>
  <c r="I164" i="1"/>
  <c r="E164" i="1"/>
  <c r="D164" i="1"/>
  <c r="Q165" i="1" l="1"/>
  <c r="R165" i="1" s="1"/>
  <c r="H165" i="1"/>
  <c r="S168" i="1"/>
  <c r="T177" i="1"/>
  <c r="AM76" i="7"/>
  <c r="AP22" i="13"/>
  <c r="AN121" i="2"/>
  <c r="AL22" i="11"/>
  <c r="AR22" i="11"/>
  <c r="R62" i="9"/>
  <c r="Q56" i="9"/>
  <c r="P53" i="9"/>
  <c r="Z32" i="13"/>
  <c r="AA31" i="13"/>
  <c r="N23" i="13"/>
  <c r="O23" i="13" s="1"/>
  <c r="AQ22" i="11"/>
  <c r="AM22" i="11"/>
  <c r="N23" i="11"/>
  <c r="O23" i="11" s="1"/>
  <c r="R34" i="11" s="1"/>
  <c r="AL76" i="7"/>
  <c r="M77" i="7"/>
  <c r="N77" i="7" s="1"/>
  <c r="Q88" i="7" s="1"/>
  <c r="M122" i="2"/>
  <c r="N122" i="2" s="1"/>
  <c r="Q133" i="2" s="1"/>
  <c r="P128" i="2"/>
  <c r="O125" i="2"/>
  <c r="S167" i="1"/>
  <c r="AN22" i="11"/>
  <c r="AO22" i="11"/>
  <c r="AM22" i="13"/>
  <c r="AR22" i="13"/>
  <c r="AN22" i="13"/>
  <c r="AL22" i="13"/>
  <c r="AO22" i="13"/>
  <c r="AK22" i="13"/>
  <c r="AQ22" i="13"/>
  <c r="AC22" i="13"/>
  <c r="AI22" i="13"/>
  <c r="AK22" i="11"/>
  <c r="AP22" i="11"/>
  <c r="AI22" i="11"/>
  <c r="F22" i="11"/>
  <c r="AC22" i="11"/>
  <c r="AQ50" i="9"/>
  <c r="AP50" i="9"/>
  <c r="F50" i="9"/>
  <c r="AK50" i="9"/>
  <c r="AN50" i="9"/>
  <c r="AL50" i="9"/>
  <c r="AR50" i="9"/>
  <c r="AO50" i="9"/>
  <c r="AM50" i="9"/>
  <c r="AC50" i="9"/>
  <c r="AI50" i="9"/>
  <c r="AQ76" i="7"/>
  <c r="AR76" i="7"/>
  <c r="AN76" i="7"/>
  <c r="AO76" i="7"/>
  <c r="AP76" i="7"/>
  <c r="AK76" i="7"/>
  <c r="AC76" i="7"/>
  <c r="AI76" i="7"/>
  <c r="E76" i="7"/>
  <c r="AD76" i="7"/>
  <c r="AK121" i="2"/>
  <c r="AQ121" i="2"/>
  <c r="AM121" i="2"/>
  <c r="AL121" i="2"/>
  <c r="AG121" i="2"/>
  <c r="AO121" i="2"/>
  <c r="E121" i="2"/>
  <c r="AC121" i="2"/>
  <c r="AI121" i="2"/>
  <c r="AG164" i="1"/>
  <c r="AT164" i="1"/>
  <c r="AM164" i="1"/>
  <c r="AP164" i="1"/>
  <c r="G164" i="1"/>
  <c r="AK164" i="1"/>
  <c r="AR164" i="1"/>
  <c r="AS164" i="1"/>
  <c r="AO164" i="1"/>
  <c r="AQ164" i="1"/>
  <c r="AJ21" i="13"/>
  <c r="AG21" i="13"/>
  <c r="AH21" i="13" s="1"/>
  <c r="AE21" i="13"/>
  <c r="AF21" i="13" s="1"/>
  <c r="AB21" i="13"/>
  <c r="Y21" i="13"/>
  <c r="Z22" i="13" s="1"/>
  <c r="AA22" i="13" s="1"/>
  <c r="X21" i="13"/>
  <c r="W21" i="13"/>
  <c r="V21" i="13"/>
  <c r="U21" i="13"/>
  <c r="T21" i="13"/>
  <c r="AM21" i="13" s="1"/>
  <c r="S21" i="13"/>
  <c r="G21" i="13"/>
  <c r="E21" i="13"/>
  <c r="D21" i="13"/>
  <c r="C21" i="13"/>
  <c r="AJ21" i="11"/>
  <c r="AG21" i="11"/>
  <c r="AH21" i="11" s="1"/>
  <c r="AE21" i="11"/>
  <c r="AF21" i="11" s="1"/>
  <c r="AB21" i="11"/>
  <c r="AC21" i="11" s="1"/>
  <c r="Y21" i="11"/>
  <c r="X21" i="11"/>
  <c r="W21" i="11"/>
  <c r="V21" i="11"/>
  <c r="U21" i="11"/>
  <c r="T21" i="11"/>
  <c r="S21" i="11"/>
  <c r="G21" i="11"/>
  <c r="E21" i="11"/>
  <c r="D21" i="11"/>
  <c r="C21" i="11"/>
  <c r="G47" i="9"/>
  <c r="D48" i="9"/>
  <c r="C48" i="9"/>
  <c r="AJ49" i="9"/>
  <c r="AG49" i="9"/>
  <c r="AE49" i="9"/>
  <c r="AE48" i="9"/>
  <c r="AB49" i="9"/>
  <c r="Y49" i="9"/>
  <c r="X49" i="9"/>
  <c r="W49" i="9"/>
  <c r="V49" i="9"/>
  <c r="U49" i="9"/>
  <c r="T49" i="9"/>
  <c r="S49" i="9"/>
  <c r="G49" i="9"/>
  <c r="D49" i="9"/>
  <c r="N50" i="9" s="1"/>
  <c r="O50" i="9" s="1"/>
  <c r="C49" i="9"/>
  <c r="T176" i="1" l="1"/>
  <c r="U182" i="1"/>
  <c r="AP21" i="13"/>
  <c r="AN21" i="11"/>
  <c r="AN21" i="13"/>
  <c r="N22" i="13"/>
  <c r="O22" i="13" s="1"/>
  <c r="R33" i="13" s="1"/>
  <c r="AR21" i="13"/>
  <c r="F21" i="13"/>
  <c r="R61" i="9"/>
  <c r="Q55" i="9"/>
  <c r="P52" i="9"/>
  <c r="AC21" i="13"/>
  <c r="Z33" i="13"/>
  <c r="AA32" i="13"/>
  <c r="AK21" i="13"/>
  <c r="AQ21" i="13"/>
  <c r="R34" i="13"/>
  <c r="Q28" i="13"/>
  <c r="P25" i="13"/>
  <c r="AL21" i="13"/>
  <c r="Q28" i="11"/>
  <c r="P25" i="11"/>
  <c r="P82" i="7"/>
  <c r="O79" i="7"/>
  <c r="P127" i="2"/>
  <c r="O124" i="2"/>
  <c r="AM21" i="11"/>
  <c r="F21" i="11"/>
  <c r="AI21" i="11"/>
  <c r="AP21" i="11"/>
  <c r="AK21" i="11"/>
  <c r="AQ21" i="11"/>
  <c r="AO21" i="11"/>
  <c r="AL21" i="11"/>
  <c r="AR21" i="11"/>
  <c r="N22" i="11"/>
  <c r="O22" i="11" s="1"/>
  <c r="R33" i="11" s="1"/>
  <c r="AI21" i="13"/>
  <c r="AO21" i="13"/>
  <c r="P24" i="13" l="1"/>
  <c r="Q27" i="13"/>
  <c r="Z34" i="13"/>
  <c r="AA33" i="13"/>
  <c r="Q27" i="11"/>
  <c r="P24" i="11"/>
  <c r="AL49" i="9"/>
  <c r="AH49" i="9"/>
  <c r="AF49" i="9"/>
  <c r="AR49" i="9"/>
  <c r="AQ49" i="9"/>
  <c r="AO49" i="9"/>
  <c r="AN49" i="9"/>
  <c r="AM49" i="9"/>
  <c r="S74" i="7"/>
  <c r="R74" i="7"/>
  <c r="F74" i="7"/>
  <c r="D74" i="7"/>
  <c r="C74" i="7"/>
  <c r="AG75" i="7"/>
  <c r="AH75" i="7" s="1"/>
  <c r="AE75" i="7"/>
  <c r="AF75" i="7" s="1"/>
  <c r="AB75" i="7"/>
  <c r="AJ75" i="7" s="1"/>
  <c r="Y75" i="7"/>
  <c r="X75" i="7"/>
  <c r="T75" i="7"/>
  <c r="W75" i="7"/>
  <c r="V75" i="7"/>
  <c r="U75" i="7"/>
  <c r="S75" i="7"/>
  <c r="R75" i="7"/>
  <c r="F75" i="7"/>
  <c r="D75" i="7"/>
  <c r="M76" i="7" s="1"/>
  <c r="N76" i="7" s="1"/>
  <c r="Q87" i="7" s="1"/>
  <c r="C75" i="7"/>
  <c r="AH120" i="2"/>
  <c r="AE120" i="2"/>
  <c r="AF120" i="2" s="1"/>
  <c r="AB120" i="2"/>
  <c r="X120" i="2"/>
  <c r="W120" i="2"/>
  <c r="V120" i="2"/>
  <c r="U120" i="2"/>
  <c r="T120" i="2"/>
  <c r="S119" i="2"/>
  <c r="S118" i="2"/>
  <c r="S117" i="2"/>
  <c r="S120" i="2"/>
  <c r="D120" i="2"/>
  <c r="M121" i="2" s="1"/>
  <c r="N121" i="2" s="1"/>
  <c r="Q132" i="2" s="1"/>
  <c r="C120" i="2"/>
  <c r="C119" i="2"/>
  <c r="C118" i="2"/>
  <c r="C117" i="2"/>
  <c r="AL163" i="1"/>
  <c r="AF163" i="1"/>
  <c r="AH163" i="1" s="1"/>
  <c r="AC163" i="1"/>
  <c r="AB163" i="1"/>
  <c r="AA163" i="1"/>
  <c r="Z163" i="1"/>
  <c r="Y163" i="1"/>
  <c r="X163" i="1"/>
  <c r="W163" i="1"/>
  <c r="P163" i="1"/>
  <c r="I163" i="1"/>
  <c r="E163" i="1"/>
  <c r="D163" i="1"/>
  <c r="AA34" i="13" l="1"/>
  <c r="Z35" i="13"/>
  <c r="AK163" i="1"/>
  <c r="AP75" i="7"/>
  <c r="AM75" i="7"/>
  <c r="AM120" i="2"/>
  <c r="AQ163" i="1"/>
  <c r="AS163" i="1"/>
  <c r="AN120" i="2"/>
  <c r="AT163" i="1"/>
  <c r="AO163" i="1"/>
  <c r="G163" i="1"/>
  <c r="AP163" i="1"/>
  <c r="AN75" i="7"/>
  <c r="AM163" i="1"/>
  <c r="AO75" i="7"/>
  <c r="AQ75" i="7"/>
  <c r="M75" i="7"/>
  <c r="N75" i="7" s="1"/>
  <c r="Q86" i="7" s="1"/>
  <c r="AR75" i="7"/>
  <c r="AK75" i="7"/>
  <c r="AL75" i="7"/>
  <c r="AG163" i="1"/>
  <c r="AR163" i="1"/>
  <c r="E75" i="7"/>
  <c r="P81" i="7"/>
  <c r="O78" i="7"/>
  <c r="P126" i="2"/>
  <c r="O123" i="2"/>
  <c r="AG120" i="2"/>
  <c r="AQ120" i="2"/>
  <c r="AL120" i="2"/>
  <c r="Q164" i="1"/>
  <c r="R164" i="1" s="1"/>
  <c r="U181" i="1" s="1"/>
  <c r="H164" i="1"/>
  <c r="AC49" i="9"/>
  <c r="AI49" i="9"/>
  <c r="F49" i="9"/>
  <c r="AP49" i="9"/>
  <c r="AK49" i="9"/>
  <c r="AC75" i="7"/>
  <c r="AI75" i="7"/>
  <c r="AD75" i="7"/>
  <c r="AO120" i="2"/>
  <c r="E120" i="2"/>
  <c r="AC120" i="2"/>
  <c r="AI120" i="2"/>
  <c r="AP120" i="2"/>
  <c r="AK120" i="2"/>
  <c r="AA35" i="13" l="1"/>
  <c r="Z36" i="13"/>
  <c r="S166" i="1"/>
  <c r="T175" i="1"/>
  <c r="O77" i="7"/>
  <c r="P80" i="7"/>
  <c r="AH119" i="2"/>
  <c r="AH118" i="2"/>
  <c r="AH117" i="2"/>
  <c r="AA36" i="13" l="1"/>
  <c r="Z37" i="13"/>
  <c r="AL160" i="1"/>
  <c r="AL162" i="1"/>
  <c r="AL161" i="1"/>
  <c r="AA37" i="13" l="1"/>
  <c r="Z38" i="13"/>
  <c r="AJ20" i="13"/>
  <c r="AJ19" i="13"/>
  <c r="AJ18" i="13"/>
  <c r="AA38" i="13" l="1"/>
  <c r="Z39" i="13"/>
  <c r="AG20" i="13"/>
  <c r="AH20" i="13" s="1"/>
  <c r="AE20" i="13"/>
  <c r="AF20" i="13" s="1"/>
  <c r="AB20" i="13"/>
  <c r="AC20" i="13" s="1"/>
  <c r="Y20" i="13"/>
  <c r="X20" i="13"/>
  <c r="W20" i="13"/>
  <c r="V20" i="13"/>
  <c r="AO20" i="13" s="1"/>
  <c r="U20" i="13"/>
  <c r="T20" i="13"/>
  <c r="S20" i="13"/>
  <c r="G20" i="13"/>
  <c r="E20" i="13"/>
  <c r="D20" i="13"/>
  <c r="N21" i="13" s="1"/>
  <c r="O21" i="13" s="1"/>
  <c r="AJ20" i="11"/>
  <c r="AJ19" i="11"/>
  <c r="AJ18" i="11"/>
  <c r="AN20" i="13" l="1"/>
  <c r="AA39" i="13"/>
  <c r="Z40" i="13"/>
  <c r="AM20" i="13"/>
  <c r="AI20" i="13"/>
  <c r="AQ20" i="13"/>
  <c r="AL20" i="13"/>
  <c r="AR20" i="13"/>
  <c r="Z21" i="13"/>
  <c r="AA21" i="13" s="1"/>
  <c r="R32" i="13"/>
  <c r="Q26" i="13"/>
  <c r="P23" i="13"/>
  <c r="AP20" i="13"/>
  <c r="AK20" i="13"/>
  <c r="F20" i="13"/>
  <c r="AG20" i="11"/>
  <c r="AH20" i="11" s="1"/>
  <c r="AE20" i="11"/>
  <c r="AF20" i="11" s="1"/>
  <c r="AB20" i="11"/>
  <c r="Y20" i="11"/>
  <c r="X20" i="11"/>
  <c r="W20" i="11"/>
  <c r="V20" i="11"/>
  <c r="U20" i="11"/>
  <c r="T20" i="11"/>
  <c r="S20" i="11"/>
  <c r="G20" i="11"/>
  <c r="E20" i="11"/>
  <c r="D20" i="11"/>
  <c r="N21" i="11" s="1"/>
  <c r="O21" i="11" s="1"/>
  <c r="R32" i="11" s="1"/>
  <c r="C20" i="11"/>
  <c r="AJ48" i="9"/>
  <c r="AJ47" i="9"/>
  <c r="AJ46" i="9"/>
  <c r="AA40" i="13" l="1"/>
  <c r="Z41" i="13"/>
  <c r="AN20" i="11"/>
  <c r="Q26" i="11"/>
  <c r="P23" i="11"/>
  <c r="AO20" i="11"/>
  <c r="AL20" i="11"/>
  <c r="AM20" i="11"/>
  <c r="AP20" i="11"/>
  <c r="AK20" i="11"/>
  <c r="AR20" i="11"/>
  <c r="F20" i="11"/>
  <c r="AQ20" i="11"/>
  <c r="AC20" i="11"/>
  <c r="AI20" i="11"/>
  <c r="AG48" i="9"/>
  <c r="AH48" i="9" s="1"/>
  <c r="AB48" i="9"/>
  <c r="Y48" i="9"/>
  <c r="X48" i="9"/>
  <c r="W48" i="9"/>
  <c r="V48" i="9"/>
  <c r="U48" i="9"/>
  <c r="AN48" i="9" s="1"/>
  <c r="T48" i="9"/>
  <c r="S48" i="9"/>
  <c r="G48" i="9"/>
  <c r="AF48" i="9"/>
  <c r="AG74" i="7"/>
  <c r="AH74" i="7" s="1"/>
  <c r="AE74" i="7"/>
  <c r="AF74" i="7" s="1"/>
  <c r="AB74" i="7"/>
  <c r="AC74" i="7" s="1"/>
  <c r="Y74" i="7"/>
  <c r="AR74" i="7" s="1"/>
  <c r="X74" i="7"/>
  <c r="AQ74" i="7" s="1"/>
  <c r="W74" i="7"/>
  <c r="AP74" i="7" s="1"/>
  <c r="V74" i="7"/>
  <c r="AO74" i="7" s="1"/>
  <c r="U74" i="7"/>
  <c r="T74" i="7"/>
  <c r="AL74" i="7"/>
  <c r="AE119" i="2"/>
  <c r="AF119" i="2" s="1"/>
  <c r="AB119" i="2"/>
  <c r="X119" i="2"/>
  <c r="W119" i="2"/>
  <c r="V119" i="2"/>
  <c r="U119" i="2"/>
  <c r="T119" i="2"/>
  <c r="D119" i="2"/>
  <c r="E119" i="2" s="1"/>
  <c r="AA41" i="13" l="1"/>
  <c r="Z42" i="13"/>
  <c r="AQ119" i="2"/>
  <c r="AL119" i="2"/>
  <c r="AN119" i="2"/>
  <c r="M120" i="2"/>
  <c r="N120" i="2" s="1"/>
  <c r="Q131" i="2" s="1"/>
  <c r="AO119" i="2"/>
  <c r="AM48" i="9"/>
  <c r="N49" i="9"/>
  <c r="O49" i="9" s="1"/>
  <c r="AO48" i="9"/>
  <c r="AP48" i="9"/>
  <c r="AL48" i="9"/>
  <c r="F48" i="9"/>
  <c r="AQ48" i="9"/>
  <c r="AR48" i="9"/>
  <c r="AC48" i="9"/>
  <c r="AI48" i="9"/>
  <c r="AK48" i="9"/>
  <c r="AN74" i="7"/>
  <c r="AM74" i="7"/>
  <c r="E74" i="7"/>
  <c r="AI74" i="7"/>
  <c r="AD74" i="7"/>
  <c r="AJ74" i="7"/>
  <c r="AK74" i="7" s="1"/>
  <c r="AK119" i="2"/>
  <c r="AG119" i="2"/>
  <c r="AP119" i="2"/>
  <c r="AM119" i="2"/>
  <c r="AC119" i="2"/>
  <c r="AI119" i="2"/>
  <c r="AF162" i="1"/>
  <c r="AG162" i="1" s="1"/>
  <c r="AC162" i="1"/>
  <c r="AB162" i="1"/>
  <c r="AA162" i="1"/>
  <c r="Z162" i="1"/>
  <c r="Y162" i="1"/>
  <c r="X162" i="1"/>
  <c r="W162" i="1"/>
  <c r="P162" i="1"/>
  <c r="I162" i="1"/>
  <c r="E162" i="1"/>
  <c r="D162" i="1"/>
  <c r="AR162" i="1"/>
  <c r="AM162" i="1" l="1"/>
  <c r="AT162" i="1"/>
  <c r="G162" i="1"/>
  <c r="AO162" i="1"/>
  <c r="AA42" i="13"/>
  <c r="Z43" i="13"/>
  <c r="AQ162" i="1"/>
  <c r="AK162" i="1"/>
  <c r="AP162" i="1"/>
  <c r="AS162" i="1"/>
  <c r="R60" i="9"/>
  <c r="Q54" i="9"/>
  <c r="P51" i="9"/>
  <c r="P125" i="2"/>
  <c r="O122" i="2"/>
  <c r="Q163" i="1"/>
  <c r="R163" i="1" s="1"/>
  <c r="H163" i="1"/>
  <c r="AH162" i="1"/>
  <c r="AG19" i="13"/>
  <c r="AH19" i="13" s="1"/>
  <c r="AE19" i="13"/>
  <c r="AB19" i="13"/>
  <c r="Y19" i="13"/>
  <c r="Z20" i="13" s="1"/>
  <c r="AA20" i="13" s="1"/>
  <c r="X19" i="13"/>
  <c r="AQ19" i="13" s="1"/>
  <c r="W19" i="13"/>
  <c r="V19" i="13"/>
  <c r="U19" i="13"/>
  <c r="T19" i="13"/>
  <c r="S19" i="13"/>
  <c r="G19" i="13"/>
  <c r="E19" i="13"/>
  <c r="D19" i="13"/>
  <c r="N20" i="13" s="1"/>
  <c r="O20" i="13" s="1"/>
  <c r="AG18" i="13"/>
  <c r="AE18" i="13"/>
  <c r="AB18" i="13"/>
  <c r="Y18" i="13"/>
  <c r="X18" i="13"/>
  <c r="W18" i="13"/>
  <c r="V18" i="13"/>
  <c r="U18" i="13"/>
  <c r="T18" i="13"/>
  <c r="S18" i="13"/>
  <c r="G18" i="13"/>
  <c r="E18" i="13"/>
  <c r="D18" i="13"/>
  <c r="AF19" i="13"/>
  <c r="AG19" i="11"/>
  <c r="AH19" i="11" s="1"/>
  <c r="AE19" i="11"/>
  <c r="AF19" i="11" s="1"/>
  <c r="AB19" i="11"/>
  <c r="Y19" i="11"/>
  <c r="X19" i="11"/>
  <c r="W19" i="11"/>
  <c r="V19" i="11"/>
  <c r="U19" i="11"/>
  <c r="T19" i="11"/>
  <c r="S19" i="11"/>
  <c r="G19" i="11"/>
  <c r="E19" i="11"/>
  <c r="D19" i="11"/>
  <c r="C19" i="11"/>
  <c r="AG18" i="11"/>
  <c r="AE18" i="11"/>
  <c r="AB18" i="11"/>
  <c r="Y18" i="11"/>
  <c r="X18" i="11"/>
  <c r="W18" i="11"/>
  <c r="V18" i="11"/>
  <c r="U18" i="11"/>
  <c r="T18" i="11"/>
  <c r="S18" i="11"/>
  <c r="G18" i="11"/>
  <c r="E18" i="11"/>
  <c r="D18" i="11"/>
  <c r="C18" i="11"/>
  <c r="AG47" i="9"/>
  <c r="AH47" i="9" s="1"/>
  <c r="AE47" i="9"/>
  <c r="AF47" i="9" s="1"/>
  <c r="AB47" i="9"/>
  <c r="Y47" i="9"/>
  <c r="X47" i="9"/>
  <c r="W47" i="9"/>
  <c r="V47" i="9"/>
  <c r="U47" i="9"/>
  <c r="T47" i="9"/>
  <c r="S47" i="9"/>
  <c r="D47" i="9"/>
  <c r="N48" i="9" s="1"/>
  <c r="O48" i="9" s="1"/>
  <c r="C47" i="9"/>
  <c r="AG46" i="9"/>
  <c r="AE46" i="9"/>
  <c r="AB46" i="9"/>
  <c r="Y46" i="9"/>
  <c r="X46" i="9"/>
  <c r="W46" i="9"/>
  <c r="V46" i="9"/>
  <c r="U46" i="9"/>
  <c r="T46" i="9"/>
  <c r="S46" i="9"/>
  <c r="G46" i="9"/>
  <c r="D46" i="9"/>
  <c r="N47" i="9" s="1"/>
  <c r="O47" i="9" s="1"/>
  <c r="C46" i="9"/>
  <c r="AG73" i="7"/>
  <c r="AH73" i="7" s="1"/>
  <c r="AE73" i="7"/>
  <c r="AB73" i="7"/>
  <c r="Y73" i="7"/>
  <c r="X73" i="7"/>
  <c r="W73" i="7"/>
  <c r="V73" i="7"/>
  <c r="U73" i="7"/>
  <c r="T73" i="7"/>
  <c r="S73" i="7"/>
  <c r="R73" i="7"/>
  <c r="F73" i="7"/>
  <c r="D73" i="7"/>
  <c r="M74" i="7" s="1"/>
  <c r="N74" i="7" s="1"/>
  <c r="Q85" i="7" s="1"/>
  <c r="C73" i="7"/>
  <c r="AJ73" i="7"/>
  <c r="AF73" i="7"/>
  <c r="AD73" i="7"/>
  <c r="AG72" i="7"/>
  <c r="AE72" i="7"/>
  <c r="AB72" i="7"/>
  <c r="Y72" i="7"/>
  <c r="X72" i="7"/>
  <c r="W72" i="7"/>
  <c r="V72" i="7"/>
  <c r="U72" i="7"/>
  <c r="T72" i="7"/>
  <c r="S72" i="7"/>
  <c r="R72" i="7"/>
  <c r="F72" i="7"/>
  <c r="D72" i="7"/>
  <c r="C72" i="7"/>
  <c r="AE118" i="2"/>
  <c r="AF118" i="2" s="1"/>
  <c r="AB118" i="2"/>
  <c r="X118" i="2"/>
  <c r="W118" i="2"/>
  <c r="V118" i="2"/>
  <c r="U118" i="2"/>
  <c r="T118" i="2"/>
  <c r="D118" i="2"/>
  <c r="AE117" i="2"/>
  <c r="AB117" i="2"/>
  <c r="X117" i="2"/>
  <c r="W117" i="2"/>
  <c r="V117" i="2"/>
  <c r="U117" i="2"/>
  <c r="T117" i="2"/>
  <c r="D117" i="2"/>
  <c r="M118" i="2" s="1"/>
  <c r="N118" i="2" s="1"/>
  <c r="AC161" i="1"/>
  <c r="AC160" i="1"/>
  <c r="Z160" i="1"/>
  <c r="AA160" i="1"/>
  <c r="Y160" i="1"/>
  <c r="X160" i="1"/>
  <c r="W160" i="1"/>
  <c r="X161" i="1"/>
  <c r="AF161" i="1"/>
  <c r="AB161" i="1"/>
  <c r="AA161" i="1"/>
  <c r="Z161" i="1"/>
  <c r="Y161" i="1"/>
  <c r="W161" i="1"/>
  <c r="P161" i="1"/>
  <c r="I161" i="1"/>
  <c r="E161" i="1"/>
  <c r="D161" i="1"/>
  <c r="T174" i="1" l="1"/>
  <c r="U180" i="1"/>
  <c r="AA43" i="13"/>
  <c r="Z44" i="13"/>
  <c r="AO118" i="2"/>
  <c r="AO47" i="9"/>
  <c r="AO19" i="13"/>
  <c r="AO19" i="11"/>
  <c r="AK19" i="13"/>
  <c r="AL19" i="13"/>
  <c r="F19" i="13"/>
  <c r="N19" i="13"/>
  <c r="O19" i="13" s="1"/>
  <c r="R30" i="13" s="1"/>
  <c r="AM19" i="13"/>
  <c r="AN19" i="13"/>
  <c r="AI118" i="2"/>
  <c r="AR19" i="13"/>
  <c r="F47" i="9"/>
  <c r="AL47" i="9"/>
  <c r="AM47" i="9"/>
  <c r="AI47" i="9"/>
  <c r="AK47" i="9"/>
  <c r="AP19" i="13"/>
  <c r="P49" i="9"/>
  <c r="R58" i="9"/>
  <c r="Q52" i="9"/>
  <c r="AN47" i="9"/>
  <c r="Q24" i="13"/>
  <c r="AO73" i="7"/>
  <c r="R59" i="9"/>
  <c r="Q53" i="9"/>
  <c r="P50" i="9"/>
  <c r="AP47" i="9"/>
  <c r="R31" i="13"/>
  <c r="Q25" i="13"/>
  <c r="P22" i="13"/>
  <c r="M73" i="7"/>
  <c r="N73" i="7" s="1"/>
  <c r="Q84" i="7" s="1"/>
  <c r="AQ47" i="9"/>
  <c r="AQ73" i="7"/>
  <c r="AR47" i="9"/>
  <c r="AP73" i="7"/>
  <c r="AM73" i="7"/>
  <c r="P79" i="7"/>
  <c r="O76" i="7"/>
  <c r="E73" i="7"/>
  <c r="AN73" i="7"/>
  <c r="AL73" i="7"/>
  <c r="AR73" i="7"/>
  <c r="AK73" i="7"/>
  <c r="AI73" i="7"/>
  <c r="O120" i="2"/>
  <c r="AC118" i="2"/>
  <c r="AN118" i="2"/>
  <c r="M119" i="2"/>
  <c r="N119" i="2" s="1"/>
  <c r="Q130" i="2" s="1"/>
  <c r="AT161" i="1"/>
  <c r="H162" i="1"/>
  <c r="AO161" i="1"/>
  <c r="AM161" i="1"/>
  <c r="Q162" i="1"/>
  <c r="R162" i="1" s="1"/>
  <c r="U179" i="1" s="1"/>
  <c r="AH161" i="1"/>
  <c r="AP161" i="1"/>
  <c r="S165" i="1"/>
  <c r="AN19" i="11"/>
  <c r="N20" i="11"/>
  <c r="O20" i="11" s="1"/>
  <c r="R31" i="11" s="1"/>
  <c r="AC19" i="13"/>
  <c r="AI19" i="13"/>
  <c r="Z19" i="13"/>
  <c r="AA19" i="13" s="1"/>
  <c r="AQ19" i="11"/>
  <c r="AP19" i="11"/>
  <c r="F19" i="11"/>
  <c r="AL19" i="11"/>
  <c r="AI19" i="11"/>
  <c r="AM19" i="11"/>
  <c r="AR19" i="11"/>
  <c r="N19" i="11"/>
  <c r="O19" i="11" s="1"/>
  <c r="AK19" i="11"/>
  <c r="AC19" i="11"/>
  <c r="AC47" i="9"/>
  <c r="AC73" i="7"/>
  <c r="AP118" i="2"/>
  <c r="AK118" i="2"/>
  <c r="AQ118" i="2"/>
  <c r="AL118" i="2"/>
  <c r="AM118" i="2"/>
  <c r="E118" i="2"/>
  <c r="AG118" i="2"/>
  <c r="AQ161" i="1"/>
  <c r="AG161" i="1"/>
  <c r="AR161" i="1"/>
  <c r="AS161" i="1"/>
  <c r="AK161" i="1"/>
  <c r="G161" i="1"/>
  <c r="AM18" i="13"/>
  <c r="AH18" i="13"/>
  <c r="AF18" i="13"/>
  <c r="AK18" i="11"/>
  <c r="AJ17" i="11"/>
  <c r="AF18" i="11"/>
  <c r="AQ18" i="11"/>
  <c r="AO18" i="11"/>
  <c r="AM18" i="11"/>
  <c r="AH18" i="11"/>
  <c r="AR18" i="11"/>
  <c r="AP18" i="11"/>
  <c r="AN18" i="11"/>
  <c r="AL18" i="11"/>
  <c r="F18" i="11"/>
  <c r="AO46" i="9"/>
  <c r="AM46" i="9"/>
  <c r="AI46" i="9"/>
  <c r="AH46" i="9"/>
  <c r="AF46" i="9"/>
  <c r="AC46" i="9"/>
  <c r="AR46" i="9"/>
  <c r="AQ46" i="9"/>
  <c r="AN46" i="9"/>
  <c r="AL46" i="9"/>
  <c r="F46" i="9"/>
  <c r="AK46" i="9"/>
  <c r="AP72" i="7"/>
  <c r="AL72" i="7"/>
  <c r="AM72" i="7"/>
  <c r="AH72" i="7"/>
  <c r="AF72" i="7"/>
  <c r="AC72" i="7"/>
  <c r="AJ72" i="7"/>
  <c r="AQ72" i="7"/>
  <c r="AN72" i="7"/>
  <c r="AG117" i="2"/>
  <c r="AO117" i="2"/>
  <c r="AL117" i="2"/>
  <c r="AN117" i="2"/>
  <c r="AF117" i="2"/>
  <c r="AQ117" i="2"/>
  <c r="AP117" i="2"/>
  <c r="AM117" i="2"/>
  <c r="AK117" i="2"/>
  <c r="E117" i="2"/>
  <c r="AA44" i="13" l="1"/>
  <c r="Z45" i="13"/>
  <c r="P21" i="13"/>
  <c r="O75" i="7"/>
  <c r="S164" i="1"/>
  <c r="T173" i="1"/>
  <c r="P78" i="7"/>
  <c r="P123" i="2"/>
  <c r="Q25" i="11"/>
  <c r="P22" i="11"/>
  <c r="R30" i="11"/>
  <c r="Q24" i="11"/>
  <c r="P21" i="11"/>
  <c r="P124" i="2"/>
  <c r="O121" i="2"/>
  <c r="Q129" i="2"/>
  <c r="AL18" i="13"/>
  <c r="AI18" i="13"/>
  <c r="AK18" i="13"/>
  <c r="AN18" i="13"/>
  <c r="AO18" i="13"/>
  <c r="AR18" i="13"/>
  <c r="F18" i="13"/>
  <c r="AP18" i="13"/>
  <c r="AQ18" i="13"/>
  <c r="AC18" i="13"/>
  <c r="AC18" i="11"/>
  <c r="AI18" i="11"/>
  <c r="AP46" i="9"/>
  <c r="AR72" i="7"/>
  <c r="AK72" i="7"/>
  <c r="AO72" i="7"/>
  <c r="AD72" i="7"/>
  <c r="E72" i="7"/>
  <c r="AI72" i="7"/>
  <c r="AC117" i="2"/>
  <c r="AI117" i="2"/>
  <c r="AF160" i="1"/>
  <c r="AH160" i="1" s="1"/>
  <c r="AB160" i="1"/>
  <c r="P160" i="1"/>
  <c r="I160" i="1"/>
  <c r="E160" i="1"/>
  <c r="AO160" i="1" s="1"/>
  <c r="D160" i="1"/>
  <c r="AP160" i="1"/>
  <c r="AA45" i="13" l="1"/>
  <c r="Z46" i="13"/>
  <c r="AR160" i="1"/>
  <c r="AT160" i="1"/>
  <c r="H161" i="1"/>
  <c r="Q161" i="1" s="1"/>
  <c r="R161" i="1" s="1"/>
  <c r="U178" i="1" s="1"/>
  <c r="AS160" i="1"/>
  <c r="G160" i="1"/>
  <c r="AM160" i="1"/>
  <c r="AQ160" i="1"/>
  <c r="AK160" i="1"/>
  <c r="AG160" i="1"/>
  <c r="AC156" i="1"/>
  <c r="AC155" i="1"/>
  <c r="AA46" i="13" l="1"/>
  <c r="Z47" i="13"/>
  <c r="S163" i="1"/>
  <c r="T172" i="1"/>
  <c r="AC157" i="1"/>
  <c r="AC158" i="1"/>
  <c r="AA47" i="13" l="1"/>
  <c r="Z48" i="13"/>
  <c r="AC159" i="1"/>
  <c r="AB159" i="1"/>
  <c r="AA159" i="1"/>
  <c r="Z159" i="1"/>
  <c r="AA48" i="13" l="1"/>
  <c r="Z49" i="13"/>
  <c r="Y159" i="1"/>
  <c r="V159" i="1"/>
  <c r="V158" i="1"/>
  <c r="V157" i="1"/>
  <c r="AJ17" i="13"/>
  <c r="AG17" i="13"/>
  <c r="AE17" i="13"/>
  <c r="AB17" i="13"/>
  <c r="Y17" i="13"/>
  <c r="Z18" i="13" s="1"/>
  <c r="AA18" i="13" s="1"/>
  <c r="X17" i="13"/>
  <c r="W17" i="13"/>
  <c r="V17" i="13"/>
  <c r="U17" i="13"/>
  <c r="T17" i="13"/>
  <c r="S17" i="13"/>
  <c r="G17" i="13"/>
  <c r="E17" i="13"/>
  <c r="D17" i="13"/>
  <c r="N18" i="13" s="1"/>
  <c r="O18" i="13" s="1"/>
  <c r="AG17" i="11"/>
  <c r="AE17" i="11"/>
  <c r="AB17" i="11"/>
  <c r="Y17" i="11"/>
  <c r="AA49" i="13" l="1"/>
  <c r="Z50" i="13"/>
  <c r="R29" i="13"/>
  <c r="P20" i="13"/>
  <c r="Q23" i="13"/>
  <c r="X17" i="11"/>
  <c r="W17" i="11"/>
  <c r="V17" i="11"/>
  <c r="U17" i="11"/>
  <c r="T17" i="11"/>
  <c r="S17" i="11"/>
  <c r="AA50" i="13" l="1"/>
  <c r="Z51" i="13"/>
  <c r="C17" i="13"/>
  <c r="AH17" i="13"/>
  <c r="AF17" i="13"/>
  <c r="AN17" i="13"/>
  <c r="G17" i="11"/>
  <c r="E17" i="11"/>
  <c r="D17" i="11"/>
  <c r="C17" i="11"/>
  <c r="AH17" i="11"/>
  <c r="AF17" i="11"/>
  <c r="AJ45" i="9"/>
  <c r="AG45" i="9"/>
  <c r="AE45" i="9"/>
  <c r="AB45" i="9"/>
  <c r="Y40" i="9"/>
  <c r="AA51" i="13" l="1"/>
  <c r="Z52" i="13"/>
  <c r="F17" i="11"/>
  <c r="N18" i="11"/>
  <c r="O18" i="11" s="1"/>
  <c r="AO17" i="13"/>
  <c r="AP17" i="13"/>
  <c r="AL17" i="13"/>
  <c r="AR17" i="13"/>
  <c r="AM17" i="13"/>
  <c r="AK17" i="13"/>
  <c r="AQ17" i="13"/>
  <c r="F17" i="13"/>
  <c r="AC17" i="13"/>
  <c r="AI17" i="13"/>
  <c r="AQ17" i="11"/>
  <c r="AM17" i="11"/>
  <c r="AL17" i="11"/>
  <c r="AR17" i="11"/>
  <c r="AK17" i="11"/>
  <c r="AN17" i="11"/>
  <c r="AO17" i="11"/>
  <c r="AP17" i="11"/>
  <c r="AC17" i="11"/>
  <c r="AI17" i="11"/>
  <c r="Y44" i="9"/>
  <c r="AA52" i="13" l="1"/>
  <c r="Z53" i="13"/>
  <c r="R29" i="11"/>
  <c r="P20" i="11"/>
  <c r="Q23" i="11"/>
  <c r="Y45" i="9"/>
  <c r="X45" i="9"/>
  <c r="W45" i="9"/>
  <c r="V45" i="9"/>
  <c r="U45" i="9"/>
  <c r="T45" i="9"/>
  <c r="S45" i="9"/>
  <c r="G45" i="9"/>
  <c r="D45" i="9"/>
  <c r="N46" i="9" s="1"/>
  <c r="O46" i="9" s="1"/>
  <c r="C45" i="9"/>
  <c r="AH45" i="9"/>
  <c r="AF45" i="9"/>
  <c r="AC45" i="9"/>
  <c r="AA53" i="13" l="1"/>
  <c r="Z54" i="13"/>
  <c r="AM45" i="9"/>
  <c r="AN45" i="9"/>
  <c r="P48" i="9"/>
  <c r="R57" i="9"/>
  <c r="Q51" i="9"/>
  <c r="AP45" i="9"/>
  <c r="AQ45" i="9"/>
  <c r="AL45" i="9"/>
  <c r="AR45" i="9"/>
  <c r="AO45" i="9"/>
  <c r="AI45" i="9"/>
  <c r="F45" i="9"/>
  <c r="AK45" i="9"/>
  <c r="AA54" i="13" l="1"/>
  <c r="Z55" i="13"/>
  <c r="AG71" i="7"/>
  <c r="AE71" i="7"/>
  <c r="AB71" i="7"/>
  <c r="AJ71" i="7" s="1"/>
  <c r="Y71" i="7"/>
  <c r="X71" i="7"/>
  <c r="W71" i="7"/>
  <c r="V71" i="7"/>
  <c r="U71" i="7"/>
  <c r="T71" i="7"/>
  <c r="S71" i="7"/>
  <c r="R71" i="7"/>
  <c r="F71" i="7"/>
  <c r="D71" i="7"/>
  <c r="M72" i="7" s="1"/>
  <c r="N72" i="7" s="1"/>
  <c r="C71" i="7"/>
  <c r="AH71" i="7"/>
  <c r="AF71" i="7"/>
  <c r="AA55" i="13" l="1"/>
  <c r="Z56" i="13"/>
  <c r="AN71" i="7"/>
  <c r="AL71" i="7"/>
  <c r="AM71" i="7"/>
  <c r="Q83" i="7"/>
  <c r="P77" i="7"/>
  <c r="O74" i="7"/>
  <c r="AD71" i="7"/>
  <c r="AQ71" i="7"/>
  <c r="AR71" i="7"/>
  <c r="AC71" i="7"/>
  <c r="AO71" i="7"/>
  <c r="AP71" i="7"/>
  <c r="AI71" i="7"/>
  <c r="E71" i="7"/>
  <c r="AK71" i="7"/>
  <c r="AA56" i="13" l="1"/>
  <c r="Z57" i="13"/>
  <c r="AA57" i="13" l="1"/>
  <c r="Z58" i="13"/>
  <c r="AA58" i="13" l="1"/>
  <c r="Z59" i="13"/>
  <c r="AA59" i="13" l="1"/>
  <c r="Z60" i="13"/>
  <c r="Z61" i="13" l="1"/>
  <c r="AA60" i="13"/>
  <c r="AA61" i="13" l="1"/>
  <c r="Z62" i="13"/>
  <c r="AH116" i="2"/>
  <c r="AE116" i="2"/>
  <c r="AB116" i="2"/>
  <c r="AA62" i="13" l="1"/>
  <c r="Z63" i="13"/>
  <c r="X116" i="2"/>
  <c r="W116" i="2"/>
  <c r="V116" i="2"/>
  <c r="U116" i="2"/>
  <c r="T116" i="2"/>
  <c r="S116" i="2"/>
  <c r="R116" i="2"/>
  <c r="D116" i="2"/>
  <c r="C116" i="2"/>
  <c r="AQ116" i="2"/>
  <c r="AF116" i="2"/>
  <c r="AC116" i="2"/>
  <c r="AA63" i="13" l="1"/>
  <c r="Z64" i="13"/>
  <c r="AM116" i="2"/>
  <c r="AN116" i="2"/>
  <c r="AO116" i="2"/>
  <c r="AP116" i="2"/>
  <c r="AK116" i="2"/>
  <c r="M117" i="2"/>
  <c r="N117" i="2" s="1"/>
  <c r="E116" i="2"/>
  <c r="AG116" i="2"/>
  <c r="AI116" i="2"/>
  <c r="AL116" i="2"/>
  <c r="AA64" i="13" l="1"/>
  <c r="Z65" i="13"/>
  <c r="Q128" i="2"/>
  <c r="P122" i="2"/>
  <c r="O119" i="2"/>
  <c r="X159" i="1"/>
  <c r="X158" i="1"/>
  <c r="X157" i="1"/>
  <c r="W159" i="1"/>
  <c r="W158" i="1"/>
  <c r="W157" i="1"/>
  <c r="I159" i="1"/>
  <c r="I158" i="1"/>
  <c r="I157" i="1"/>
  <c r="E159" i="1"/>
  <c r="E158" i="1"/>
  <c r="E157" i="1"/>
  <c r="D159" i="1"/>
  <c r="D158" i="1"/>
  <c r="D157" i="1"/>
  <c r="AL159" i="1"/>
  <c r="AL158" i="1"/>
  <c r="AL157" i="1"/>
  <c r="AF158" i="1"/>
  <c r="AA65" i="13" l="1"/>
  <c r="Z66" i="13"/>
  <c r="H160" i="1"/>
  <c r="Q160" i="1" s="1"/>
  <c r="R160" i="1" s="1"/>
  <c r="U177" i="1" s="1"/>
  <c r="AF157" i="1"/>
  <c r="AF159" i="1"/>
  <c r="AA66" i="13" l="1"/>
  <c r="Z67" i="13"/>
  <c r="S162" i="1"/>
  <c r="T171" i="1"/>
  <c r="P159" i="1"/>
  <c r="AA67" i="13" l="1"/>
  <c r="Z68" i="13"/>
  <c r="AH159" i="1"/>
  <c r="AO159" i="1"/>
  <c r="AA68" i="13" l="1"/>
  <c r="Z69" i="13"/>
  <c r="AP159" i="1"/>
  <c r="AQ159" i="1"/>
  <c r="G159" i="1"/>
  <c r="AK159" i="1"/>
  <c r="AR159" i="1"/>
  <c r="AS159" i="1"/>
  <c r="AG159" i="1"/>
  <c r="AM159" i="1"/>
  <c r="AT159" i="1"/>
  <c r="Y32" i="2"/>
  <c r="R107" i="2"/>
  <c r="R108" i="2"/>
  <c r="R109" i="2"/>
  <c r="R110" i="2"/>
  <c r="R111" i="2"/>
  <c r="R112" i="2"/>
  <c r="AA69" i="13" l="1"/>
  <c r="Z70" i="13"/>
  <c r="AA70" i="13" l="1"/>
  <c r="Z71" i="13"/>
  <c r="Y66" i="7"/>
  <c r="AA71" i="13" l="1"/>
  <c r="Z72" i="13"/>
  <c r="Y43" i="9"/>
  <c r="AA72" i="13" l="1"/>
  <c r="Z73" i="13"/>
  <c r="D16" i="13"/>
  <c r="N17" i="13" s="1"/>
  <c r="O17" i="13" s="1"/>
  <c r="AJ16" i="13"/>
  <c r="AG16" i="13"/>
  <c r="AH16" i="13" s="1"/>
  <c r="AE16" i="13"/>
  <c r="AB16" i="13"/>
  <c r="Y16" i="13"/>
  <c r="Z17" i="13" s="1"/>
  <c r="AA17" i="13" s="1"/>
  <c r="X16" i="13"/>
  <c r="AQ16" i="13" s="1"/>
  <c r="W16" i="13"/>
  <c r="V16" i="13"/>
  <c r="U16" i="13"/>
  <c r="T16" i="13"/>
  <c r="S16" i="13"/>
  <c r="G16" i="13"/>
  <c r="E16" i="13"/>
  <c r="C16" i="13"/>
  <c r="AF16" i="13"/>
  <c r="AJ16" i="11"/>
  <c r="AG16" i="11"/>
  <c r="AH16" i="11" s="1"/>
  <c r="AE16" i="11"/>
  <c r="AB16" i="11"/>
  <c r="Y16" i="11"/>
  <c r="X16" i="11"/>
  <c r="W16" i="11"/>
  <c r="V16" i="11"/>
  <c r="U16" i="11"/>
  <c r="T16" i="11"/>
  <c r="S16" i="11"/>
  <c r="G16" i="11"/>
  <c r="E16" i="11"/>
  <c r="D16" i="11"/>
  <c r="N17" i="11" s="1"/>
  <c r="O17" i="11" s="1"/>
  <c r="C16" i="11"/>
  <c r="AF16" i="11"/>
  <c r="AJ44" i="9"/>
  <c r="AG44" i="9"/>
  <c r="AE44" i="9"/>
  <c r="AF44" i="9" s="1"/>
  <c r="AB44" i="9"/>
  <c r="X44" i="9"/>
  <c r="W44" i="9"/>
  <c r="V44" i="9"/>
  <c r="U44" i="9"/>
  <c r="T44" i="9"/>
  <c r="S44" i="9"/>
  <c r="G44" i="9"/>
  <c r="D44" i="9"/>
  <c r="N45" i="9" s="1"/>
  <c r="O45" i="9" s="1"/>
  <c r="C44" i="9"/>
  <c r="AH44" i="9"/>
  <c r="AG70" i="7"/>
  <c r="AH70" i="7" s="1"/>
  <c r="AE70" i="7"/>
  <c r="AF70" i="7" s="1"/>
  <c r="AB70" i="7"/>
  <c r="AJ70" i="7" s="1"/>
  <c r="X70" i="7"/>
  <c r="W70" i="7"/>
  <c r="V70" i="7"/>
  <c r="U70" i="7"/>
  <c r="T70" i="7"/>
  <c r="S70" i="7"/>
  <c r="R70" i="7"/>
  <c r="F70" i="7"/>
  <c r="D70" i="7"/>
  <c r="C70" i="7"/>
  <c r="D115" i="2"/>
  <c r="M116" i="2" s="1"/>
  <c r="N116" i="2" s="1"/>
  <c r="AH115" i="2"/>
  <c r="AE115" i="2"/>
  <c r="AF115" i="2" s="1"/>
  <c r="AB115" i="2"/>
  <c r="X115" i="2"/>
  <c r="W115" i="2"/>
  <c r="V115" i="2"/>
  <c r="U115" i="2"/>
  <c r="T115" i="2"/>
  <c r="S115" i="2"/>
  <c r="R115" i="2"/>
  <c r="C115" i="2"/>
  <c r="AB158" i="1"/>
  <c r="AA158" i="1"/>
  <c r="Z158" i="1"/>
  <c r="Y158" i="1"/>
  <c r="AQ158" i="1" s="1"/>
  <c r="P158" i="1"/>
  <c r="AK158" i="1"/>
  <c r="AA73" i="13" l="1"/>
  <c r="Z74" i="13"/>
  <c r="AM44" i="9"/>
  <c r="AR16" i="13"/>
  <c r="P47" i="9"/>
  <c r="R56" i="9"/>
  <c r="Q50" i="9"/>
  <c r="R28" i="13"/>
  <c r="Q22" i="13"/>
  <c r="P19" i="13"/>
  <c r="R28" i="11"/>
  <c r="Q22" i="11"/>
  <c r="P19" i="11"/>
  <c r="Q127" i="2"/>
  <c r="P121" i="2"/>
  <c r="O118" i="2"/>
  <c r="AO44" i="9"/>
  <c r="AR70" i="7"/>
  <c r="M71" i="7"/>
  <c r="N71" i="7" s="1"/>
  <c r="AO70" i="7"/>
  <c r="AP70" i="7"/>
  <c r="AP44" i="9"/>
  <c r="AQ44" i="9"/>
  <c r="AL44" i="9"/>
  <c r="AR44" i="9"/>
  <c r="AM70" i="7"/>
  <c r="G158" i="1"/>
  <c r="AO158" i="1"/>
  <c r="H159" i="1"/>
  <c r="Q159" i="1"/>
  <c r="R159" i="1" s="1"/>
  <c r="AN16" i="11"/>
  <c r="AP158" i="1"/>
  <c r="AM16" i="11"/>
  <c r="AO16" i="11"/>
  <c r="AN115" i="2"/>
  <c r="AQ70" i="7"/>
  <c r="AL16" i="11"/>
  <c r="AR158" i="1"/>
  <c r="AL70" i="7"/>
  <c r="AP16" i="11"/>
  <c r="AS158" i="1"/>
  <c r="AR16" i="11"/>
  <c r="AM16" i="13"/>
  <c r="AL16" i="13"/>
  <c r="F16" i="13"/>
  <c r="AO16" i="13"/>
  <c r="AP16" i="13"/>
  <c r="AN16" i="13"/>
  <c r="AC16" i="13"/>
  <c r="AI16" i="13"/>
  <c r="AK16" i="13"/>
  <c r="AK16" i="11"/>
  <c r="AQ16" i="11"/>
  <c r="F16" i="11"/>
  <c r="AC16" i="11"/>
  <c r="AI16" i="11"/>
  <c r="AK44" i="9"/>
  <c r="AN44" i="9"/>
  <c r="AC44" i="9"/>
  <c r="AI44" i="9"/>
  <c r="F44" i="9"/>
  <c r="AK70" i="7"/>
  <c r="AN70" i="7"/>
  <c r="E70" i="7"/>
  <c r="AC70" i="7"/>
  <c r="AI70" i="7"/>
  <c r="AD70" i="7"/>
  <c r="AL115" i="2"/>
  <c r="AG115" i="2"/>
  <c r="AQ115" i="2"/>
  <c r="AM115" i="2"/>
  <c r="AO115" i="2"/>
  <c r="E115" i="2"/>
  <c r="AC115" i="2"/>
  <c r="AI115" i="2"/>
  <c r="AP115" i="2"/>
  <c r="AK115" i="2"/>
  <c r="AG158" i="1"/>
  <c r="AM158" i="1"/>
  <c r="AT158" i="1"/>
  <c r="AH158" i="1"/>
  <c r="AJ15" i="13"/>
  <c r="AG15" i="13"/>
  <c r="AH15" i="13" s="1"/>
  <c r="AE15" i="13"/>
  <c r="AF15" i="13" s="1"/>
  <c r="AB15" i="13"/>
  <c r="Y15" i="13"/>
  <c r="X15" i="13"/>
  <c r="W15" i="13"/>
  <c r="V15" i="13"/>
  <c r="U15" i="13"/>
  <c r="T15" i="13"/>
  <c r="S15" i="13"/>
  <c r="G15" i="13"/>
  <c r="E15" i="13"/>
  <c r="D15" i="13"/>
  <c r="C15" i="13"/>
  <c r="AJ15" i="11"/>
  <c r="AG15" i="11"/>
  <c r="AH15" i="11" s="1"/>
  <c r="AE15" i="11"/>
  <c r="AF15" i="11" s="1"/>
  <c r="AB15" i="11"/>
  <c r="Y15" i="11"/>
  <c r="X15" i="11"/>
  <c r="W15" i="11"/>
  <c r="V15" i="11"/>
  <c r="U15" i="11"/>
  <c r="T15" i="11"/>
  <c r="S15" i="11"/>
  <c r="G15" i="11"/>
  <c r="E15" i="11"/>
  <c r="D15" i="11"/>
  <c r="F15" i="11" s="1"/>
  <c r="C15" i="11"/>
  <c r="AJ43" i="9"/>
  <c r="AG43" i="9"/>
  <c r="AH43" i="9" s="1"/>
  <c r="AE43" i="9"/>
  <c r="AF43" i="9" s="1"/>
  <c r="AB43" i="9"/>
  <c r="X43" i="9"/>
  <c r="W43" i="9"/>
  <c r="V43" i="9"/>
  <c r="U43" i="9"/>
  <c r="T43" i="9"/>
  <c r="S43" i="9"/>
  <c r="G43" i="9"/>
  <c r="D43" i="9"/>
  <c r="N44" i="9" s="1"/>
  <c r="O44" i="9" s="1"/>
  <c r="R55" i="9" s="1"/>
  <c r="C43" i="9"/>
  <c r="AG69" i="7"/>
  <c r="AH69" i="7" s="1"/>
  <c r="AE69" i="7"/>
  <c r="AF69" i="7" s="1"/>
  <c r="AB69" i="7"/>
  <c r="AC69" i="7" s="1"/>
  <c r="Y69" i="7"/>
  <c r="X69" i="7"/>
  <c r="W69" i="7"/>
  <c r="V69" i="7"/>
  <c r="U69" i="7"/>
  <c r="T69" i="7"/>
  <c r="S69" i="7"/>
  <c r="R69" i="7"/>
  <c r="F69" i="7"/>
  <c r="D69" i="7"/>
  <c r="M70" i="7" s="1"/>
  <c r="N70" i="7" s="1"/>
  <c r="C69" i="7"/>
  <c r="AJ69" i="7"/>
  <c r="AD69" i="7"/>
  <c r="AH114" i="2"/>
  <c r="AE114" i="2"/>
  <c r="AF114" i="2" s="1"/>
  <c r="AB114" i="2"/>
  <c r="X114" i="2"/>
  <c r="W114" i="2"/>
  <c r="V114" i="2"/>
  <c r="U114" i="2"/>
  <c r="T114" i="2"/>
  <c r="S114" i="2"/>
  <c r="R114" i="2"/>
  <c r="D114" i="2"/>
  <c r="M115" i="2" s="1"/>
  <c r="N115" i="2" s="1"/>
  <c r="C114" i="2"/>
  <c r="AB157" i="1"/>
  <c r="AA157" i="1"/>
  <c r="Z157" i="1"/>
  <c r="Y157" i="1"/>
  <c r="P157" i="1"/>
  <c r="Q158" i="1"/>
  <c r="R158" i="1" s="1"/>
  <c r="AA74" i="13" l="1"/>
  <c r="Z75" i="13"/>
  <c r="AN69" i="7"/>
  <c r="AP15" i="13"/>
  <c r="S161" i="1"/>
  <c r="U176" i="1"/>
  <c r="T170" i="1"/>
  <c r="AO43" i="9"/>
  <c r="AO15" i="13"/>
  <c r="U175" i="1"/>
  <c r="AM43" i="9"/>
  <c r="Q81" i="7"/>
  <c r="P75" i="7"/>
  <c r="O72" i="7"/>
  <c r="Q82" i="7"/>
  <c r="P76" i="7"/>
  <c r="O73" i="7"/>
  <c r="Q126" i="2"/>
  <c r="P120" i="2"/>
  <c r="O117" i="2"/>
  <c r="S160" i="1"/>
  <c r="T169" i="1"/>
  <c r="AP43" i="9"/>
  <c r="AQ43" i="9"/>
  <c r="AL43" i="9"/>
  <c r="Q49" i="9"/>
  <c r="P46" i="9"/>
  <c r="AI43" i="9"/>
  <c r="F43" i="9"/>
  <c r="AN15" i="13"/>
  <c r="F15" i="13"/>
  <c r="AO69" i="7"/>
  <c r="AR15" i="11"/>
  <c r="AI15" i="13"/>
  <c r="AL15" i="13"/>
  <c r="AR15" i="13"/>
  <c r="AR43" i="9"/>
  <c r="AP15" i="11"/>
  <c r="AM15" i="13"/>
  <c r="AP69" i="7"/>
  <c r="AQ15" i="11"/>
  <c r="AN114" i="2"/>
  <c r="AQ69" i="7"/>
  <c r="AI69" i="7"/>
  <c r="AN43" i="9"/>
  <c r="N16" i="13"/>
  <c r="O16" i="13" s="1"/>
  <c r="E69" i="7"/>
  <c r="AR69" i="7"/>
  <c r="AK69" i="7"/>
  <c r="AL69" i="7"/>
  <c r="AC43" i="9"/>
  <c r="AK43" i="9"/>
  <c r="AN15" i="11"/>
  <c r="Z16" i="13"/>
  <c r="AA16" i="13" s="1"/>
  <c r="AM69" i="7"/>
  <c r="AK15" i="11"/>
  <c r="AO15" i="11"/>
  <c r="AQ15" i="13"/>
  <c r="N16" i="11"/>
  <c r="O16" i="11" s="1"/>
  <c r="H158" i="1"/>
  <c r="AC15" i="13"/>
  <c r="AK15" i="13"/>
  <c r="AL15" i="11"/>
  <c r="AM15" i="11"/>
  <c r="AC15" i="11"/>
  <c r="AI15" i="11"/>
  <c r="AG114" i="2"/>
  <c r="AM114" i="2"/>
  <c r="AP114" i="2"/>
  <c r="AC114" i="2"/>
  <c r="AI114" i="2"/>
  <c r="AK114" i="2"/>
  <c r="AQ114" i="2"/>
  <c r="AL114" i="2"/>
  <c r="AO114" i="2"/>
  <c r="E114" i="2"/>
  <c r="AH157" i="1"/>
  <c r="AR157" i="1"/>
  <c r="AA75" i="13" l="1"/>
  <c r="Z76" i="13"/>
  <c r="R27" i="13"/>
  <c r="P18" i="13"/>
  <c r="Q21" i="13"/>
  <c r="R27" i="11"/>
  <c r="Q21" i="11"/>
  <c r="P18" i="11"/>
  <c r="AG157" i="1"/>
  <c r="AS157" i="1"/>
  <c r="AM157" i="1"/>
  <c r="AT157" i="1"/>
  <c r="AO157" i="1"/>
  <c r="AP157" i="1"/>
  <c r="G157" i="1"/>
  <c r="AQ157" i="1"/>
  <c r="AK157" i="1"/>
  <c r="AJ14" i="13"/>
  <c r="AG14" i="13"/>
  <c r="AH14" i="13" s="1"/>
  <c r="AE14" i="13"/>
  <c r="AF14" i="13" s="1"/>
  <c r="AB14" i="13"/>
  <c r="AC14" i="13" s="1"/>
  <c r="Y14" i="13"/>
  <c r="Z15" i="13" s="1"/>
  <c r="AA15" i="13" s="1"/>
  <c r="X14" i="13"/>
  <c r="W14" i="13"/>
  <c r="V14" i="13"/>
  <c r="U14" i="13"/>
  <c r="T14" i="13"/>
  <c r="S14" i="13"/>
  <c r="G14" i="13"/>
  <c r="E14" i="13"/>
  <c r="D14" i="13"/>
  <c r="F14" i="13" s="1"/>
  <c r="C14" i="13"/>
  <c r="AJ13" i="11"/>
  <c r="AG13" i="11"/>
  <c r="AE13" i="11"/>
  <c r="AB13" i="11"/>
  <c r="X13" i="11"/>
  <c r="W13" i="11"/>
  <c r="V13" i="11"/>
  <c r="U13" i="11"/>
  <c r="T13" i="11"/>
  <c r="S13" i="11"/>
  <c r="G13" i="11"/>
  <c r="E13" i="11"/>
  <c r="D13" i="11"/>
  <c r="C13" i="11"/>
  <c r="AA76" i="13" l="1"/>
  <c r="Z77" i="13"/>
  <c r="AP14" i="13"/>
  <c r="AM14" i="13"/>
  <c r="AQ14" i="13"/>
  <c r="AR14" i="13"/>
  <c r="N15" i="13"/>
  <c r="O15" i="13" s="1"/>
  <c r="AL14" i="13"/>
  <c r="AO14" i="13"/>
  <c r="AN14" i="13"/>
  <c r="AI14" i="13"/>
  <c r="AK14" i="13"/>
  <c r="AA77" i="13" l="1"/>
  <c r="Z78" i="13"/>
  <c r="R26" i="13"/>
  <c r="Q20" i="13"/>
  <c r="P17" i="13"/>
  <c r="AJ14" i="11"/>
  <c r="AG14" i="11"/>
  <c r="AH14" i="11" s="1"/>
  <c r="AE14" i="11"/>
  <c r="AF14" i="11" s="1"/>
  <c r="AB14" i="11"/>
  <c r="X14" i="11"/>
  <c r="W14" i="11"/>
  <c r="V14" i="11"/>
  <c r="U14" i="11"/>
  <c r="T14" i="11"/>
  <c r="S14" i="11"/>
  <c r="G14" i="11"/>
  <c r="E14" i="11"/>
  <c r="D14" i="11"/>
  <c r="C14" i="11"/>
  <c r="AA78" i="13" l="1"/>
  <c r="Z79" i="13"/>
  <c r="AQ14" i="11"/>
  <c r="AN14" i="11"/>
  <c r="AK14" i="11"/>
  <c r="AR14" i="11"/>
  <c r="N15" i="11"/>
  <c r="O15" i="11" s="1"/>
  <c r="AO14" i="11"/>
  <c r="AP14" i="11"/>
  <c r="AM14" i="11"/>
  <c r="AL14" i="11"/>
  <c r="F14" i="11"/>
  <c r="AC14" i="11"/>
  <c r="AI14" i="11"/>
  <c r="G42" i="9"/>
  <c r="AJ42" i="9"/>
  <c r="AG42" i="9"/>
  <c r="AH42" i="9" s="1"/>
  <c r="AE42" i="9"/>
  <c r="AF42" i="9" s="1"/>
  <c r="AB42" i="9"/>
  <c r="AC42" i="9" s="1"/>
  <c r="Y42" i="9"/>
  <c r="X42" i="9"/>
  <c r="W42" i="9"/>
  <c r="V42" i="9"/>
  <c r="U42" i="9"/>
  <c r="T42" i="9"/>
  <c r="S42" i="9"/>
  <c r="D42" i="9"/>
  <c r="C42" i="9"/>
  <c r="AG68" i="7"/>
  <c r="AH68" i="7" s="1"/>
  <c r="AE68" i="7"/>
  <c r="AF68" i="7" s="1"/>
  <c r="AB68" i="7"/>
  <c r="AC68" i="7" s="1"/>
  <c r="Y68" i="7"/>
  <c r="X68" i="7"/>
  <c r="W68" i="7"/>
  <c r="V68" i="7"/>
  <c r="U68" i="7"/>
  <c r="T68" i="7"/>
  <c r="S68" i="7"/>
  <c r="R68" i="7"/>
  <c r="F68" i="7"/>
  <c r="D68" i="7"/>
  <c r="C68" i="7"/>
  <c r="AH113" i="2"/>
  <c r="AE113" i="2"/>
  <c r="AF113" i="2" s="1"/>
  <c r="AB113" i="2"/>
  <c r="X113" i="2"/>
  <c r="W113" i="2"/>
  <c r="V113" i="2"/>
  <c r="U113" i="2"/>
  <c r="T113" i="2"/>
  <c r="S113" i="2"/>
  <c r="R113" i="2"/>
  <c r="D113" i="2"/>
  <c r="M114" i="2" s="1"/>
  <c r="N114" i="2" s="1"/>
  <c r="C113" i="2"/>
  <c r="AF156" i="1"/>
  <c r="AH156" i="1" s="1"/>
  <c r="AB156" i="1"/>
  <c r="AA156" i="1"/>
  <c r="Z156" i="1"/>
  <c r="Y156" i="1"/>
  <c r="X156" i="1"/>
  <c r="W156" i="1"/>
  <c r="V156" i="1"/>
  <c r="P156" i="1"/>
  <c r="I156" i="1"/>
  <c r="E156" i="1"/>
  <c r="D156" i="1"/>
  <c r="AL156" i="1"/>
  <c r="AA79" i="13" l="1"/>
  <c r="Z80" i="13"/>
  <c r="AK42" i="9"/>
  <c r="R26" i="11"/>
  <c r="Q20" i="11"/>
  <c r="P17" i="11"/>
  <c r="O116" i="2"/>
  <c r="Q125" i="2"/>
  <c r="P119" i="2"/>
  <c r="AN113" i="2"/>
  <c r="AP156" i="1"/>
  <c r="AS156" i="1"/>
  <c r="AO156" i="1"/>
  <c r="AQ42" i="9"/>
  <c r="AP68" i="7"/>
  <c r="AQ68" i="7"/>
  <c r="AR68" i="7"/>
  <c r="AO42" i="9"/>
  <c r="Q157" i="1"/>
  <c r="R157" i="1" s="1"/>
  <c r="H157" i="1"/>
  <c r="AP113" i="2"/>
  <c r="F42" i="9"/>
  <c r="AR42" i="9"/>
  <c r="AL42" i="9"/>
  <c r="AI42" i="9"/>
  <c r="AM42" i="9"/>
  <c r="AP42" i="9"/>
  <c r="N43" i="9"/>
  <c r="O43" i="9" s="1"/>
  <c r="R54" i="9" s="1"/>
  <c r="AG156" i="1"/>
  <c r="AM68" i="7"/>
  <c r="M69" i="7"/>
  <c r="N69" i="7" s="1"/>
  <c r="AO68" i="7"/>
  <c r="AN42" i="9"/>
  <c r="AL68" i="7"/>
  <c r="AI68" i="7"/>
  <c r="AD68" i="7"/>
  <c r="AJ68" i="7"/>
  <c r="AK68" i="7" s="1"/>
  <c r="AN68" i="7"/>
  <c r="E68" i="7"/>
  <c r="AG113" i="2"/>
  <c r="AC113" i="2"/>
  <c r="AI113" i="2"/>
  <c r="AK113" i="2"/>
  <c r="AQ113" i="2"/>
  <c r="AL113" i="2"/>
  <c r="AM113" i="2"/>
  <c r="AO113" i="2"/>
  <c r="E113" i="2"/>
  <c r="AQ156" i="1"/>
  <c r="G156" i="1"/>
  <c r="AK156" i="1"/>
  <c r="AR156" i="1"/>
  <c r="AM156" i="1"/>
  <c r="AT156" i="1"/>
  <c r="AJ13" i="13"/>
  <c r="AG13" i="13"/>
  <c r="AH13" i="13" s="1"/>
  <c r="AE13" i="13"/>
  <c r="AF13" i="13" s="1"/>
  <c r="AB13" i="13"/>
  <c r="AC13" i="13" s="1"/>
  <c r="Y13" i="13"/>
  <c r="Z14" i="13" s="1"/>
  <c r="AA14" i="13" s="1"/>
  <c r="X13" i="13"/>
  <c r="W13" i="13"/>
  <c r="V13" i="13"/>
  <c r="U13" i="13"/>
  <c r="T13" i="13"/>
  <c r="S13" i="13"/>
  <c r="G13" i="13"/>
  <c r="E13" i="13"/>
  <c r="D13" i="13"/>
  <c r="AH13" i="11"/>
  <c r="AF13" i="11"/>
  <c r="AP13" i="11"/>
  <c r="AM13" i="11"/>
  <c r="N14" i="11"/>
  <c r="O14" i="11" s="1"/>
  <c r="AO13" i="11"/>
  <c r="AN13" i="11"/>
  <c r="AJ41" i="9"/>
  <c r="AG41" i="9"/>
  <c r="AH41" i="9" s="1"/>
  <c r="AE41" i="9"/>
  <c r="AF41" i="9" s="1"/>
  <c r="AB41" i="9"/>
  <c r="Y41" i="9"/>
  <c r="X41" i="9"/>
  <c r="W41" i="9"/>
  <c r="V41" i="9"/>
  <c r="U41" i="9"/>
  <c r="T41" i="9"/>
  <c r="S41" i="9"/>
  <c r="G41" i="9"/>
  <c r="D41" i="9"/>
  <c r="N42" i="9" s="1"/>
  <c r="O42" i="9" s="1"/>
  <c r="C41" i="9"/>
  <c r="AG67" i="7"/>
  <c r="AH67" i="7" s="1"/>
  <c r="AE67" i="7"/>
  <c r="AF67" i="7" s="1"/>
  <c r="AB67" i="7"/>
  <c r="AD67" i="7" s="1"/>
  <c r="Y67" i="7"/>
  <c r="X67" i="7"/>
  <c r="W67" i="7"/>
  <c r="V67" i="7"/>
  <c r="U67" i="7"/>
  <c r="T67" i="7"/>
  <c r="S67" i="7"/>
  <c r="R67" i="7"/>
  <c r="F67" i="7"/>
  <c r="D67" i="7"/>
  <c r="M68" i="7" s="1"/>
  <c r="N68" i="7" s="1"/>
  <c r="C67" i="7"/>
  <c r="AA80" i="13" l="1"/>
  <c r="Z81" i="13"/>
  <c r="AJ67" i="7"/>
  <c r="R53" i="9"/>
  <c r="AN13" i="13"/>
  <c r="T168" i="1"/>
  <c r="U174" i="1"/>
  <c r="R25" i="11"/>
  <c r="Q19" i="11"/>
  <c r="P16" i="11"/>
  <c r="O70" i="7"/>
  <c r="Q79" i="7"/>
  <c r="P73" i="7"/>
  <c r="O71" i="7"/>
  <c r="Q80" i="7"/>
  <c r="P74" i="7"/>
  <c r="P45" i="9"/>
  <c r="Q48" i="9"/>
  <c r="P44" i="9"/>
  <c r="Q47" i="9"/>
  <c r="AL67" i="7"/>
  <c r="AQ67" i="7"/>
  <c r="AP41" i="9"/>
  <c r="AK41" i="9"/>
  <c r="AP67" i="7"/>
  <c r="AI67" i="7"/>
  <c r="F41" i="9"/>
  <c r="AQ41" i="9"/>
  <c r="AL41" i="9"/>
  <c r="AR41" i="9"/>
  <c r="AM67" i="7"/>
  <c r="AN67" i="7"/>
  <c r="AM41" i="9"/>
  <c r="AI41" i="9"/>
  <c r="S159" i="1"/>
  <c r="AO67" i="7"/>
  <c r="F13" i="13"/>
  <c r="N14" i="13"/>
  <c r="O14" i="13" s="1"/>
  <c r="AO13" i="13"/>
  <c r="AK67" i="7"/>
  <c r="AR67" i="7"/>
  <c r="AN41" i="9"/>
  <c r="AP13" i="13"/>
  <c r="AR13" i="11"/>
  <c r="AI13" i="11"/>
  <c r="AL13" i="11"/>
  <c r="F13" i="11"/>
  <c r="AC13" i="11"/>
  <c r="AI13" i="13"/>
  <c r="AQ13" i="13"/>
  <c r="AL13" i="13"/>
  <c r="AR13" i="13"/>
  <c r="AM13" i="13"/>
  <c r="AK13" i="13"/>
  <c r="AQ13" i="11"/>
  <c r="AK13" i="11"/>
  <c r="AO41" i="9"/>
  <c r="AC41" i="9"/>
  <c r="E67" i="7"/>
  <c r="AC67" i="7"/>
  <c r="AA81" i="13" l="1"/>
  <c r="Z82" i="13"/>
  <c r="R25" i="13"/>
  <c r="P16" i="13"/>
  <c r="Q19" i="13"/>
  <c r="AH112" i="2"/>
  <c r="AE112" i="2"/>
  <c r="AF112" i="2" s="1"/>
  <c r="AB112" i="2"/>
  <c r="X112" i="2"/>
  <c r="W112" i="2"/>
  <c r="V112" i="2"/>
  <c r="U112" i="2"/>
  <c r="T112" i="2"/>
  <c r="S112" i="2"/>
  <c r="D112" i="2"/>
  <c r="M113" i="2" s="1"/>
  <c r="N113" i="2" s="1"/>
  <c r="C112" i="2"/>
  <c r="AA82" i="13" l="1"/>
  <c r="Z83" i="13"/>
  <c r="AN112" i="2"/>
  <c r="O115" i="2"/>
  <c r="Q124" i="2"/>
  <c r="P118" i="2"/>
  <c r="AI112" i="2"/>
  <c r="AP112" i="2"/>
  <c r="AC112" i="2"/>
  <c r="AL112" i="2"/>
  <c r="AG112" i="2"/>
  <c r="AK112" i="2"/>
  <c r="AM112" i="2"/>
  <c r="AQ112" i="2"/>
  <c r="AO112" i="2"/>
  <c r="E112" i="2"/>
  <c r="AA83" i="13" l="1"/>
  <c r="Z84" i="13"/>
  <c r="AL155" i="1"/>
  <c r="AF155" i="1"/>
  <c r="AB155" i="1"/>
  <c r="AA155" i="1"/>
  <c r="Z155" i="1"/>
  <c r="Y155" i="1"/>
  <c r="X155" i="1"/>
  <c r="W155" i="1"/>
  <c r="V155" i="1"/>
  <c r="P155" i="1"/>
  <c r="I155" i="1"/>
  <c r="E155" i="1"/>
  <c r="D155" i="1"/>
  <c r="AA84" i="13" l="1"/>
  <c r="Z85" i="13"/>
  <c r="H156" i="1"/>
  <c r="Q156" i="1"/>
  <c r="R156" i="1" s="1"/>
  <c r="U173" i="1" s="1"/>
  <c r="AP155" i="1"/>
  <c r="AO155" i="1"/>
  <c r="AT155" i="1"/>
  <c r="G155" i="1"/>
  <c r="AJ12" i="13"/>
  <c r="AG12" i="13"/>
  <c r="AH12" i="13" s="1"/>
  <c r="AE12" i="13"/>
  <c r="AF12" i="13" s="1"/>
  <c r="AB12" i="13"/>
  <c r="AC12" i="13" s="1"/>
  <c r="Y12" i="13"/>
  <c r="Z13" i="13" s="1"/>
  <c r="AA13" i="13" s="1"/>
  <c r="X12" i="13"/>
  <c r="W12" i="13"/>
  <c r="V12" i="13"/>
  <c r="U12" i="13"/>
  <c r="T12" i="13"/>
  <c r="S12" i="13"/>
  <c r="G12" i="13"/>
  <c r="E12" i="13"/>
  <c r="D12" i="13"/>
  <c r="F12" i="13" s="1"/>
  <c r="C12" i="13"/>
  <c r="AJ12" i="11"/>
  <c r="AG12" i="11"/>
  <c r="AH12" i="11" s="1"/>
  <c r="AE12" i="11"/>
  <c r="AF12" i="11" s="1"/>
  <c r="AB12" i="11"/>
  <c r="AC12" i="11" s="1"/>
  <c r="X12" i="11"/>
  <c r="W12" i="11"/>
  <c r="V12" i="11"/>
  <c r="U12" i="11"/>
  <c r="T12" i="11"/>
  <c r="S12" i="11"/>
  <c r="G12" i="11"/>
  <c r="E12" i="11"/>
  <c r="D12" i="11"/>
  <c r="C12" i="11"/>
  <c r="AJ40" i="9"/>
  <c r="AG40" i="9"/>
  <c r="AH40" i="9" s="1"/>
  <c r="AE40" i="9"/>
  <c r="AF40" i="9" s="1"/>
  <c r="AB40" i="9"/>
  <c r="AC40" i="9" s="1"/>
  <c r="X40" i="9"/>
  <c r="W40" i="9"/>
  <c r="V40" i="9"/>
  <c r="U40" i="9"/>
  <c r="T40" i="9"/>
  <c r="S40" i="9"/>
  <c r="G40" i="9"/>
  <c r="D40" i="9"/>
  <c r="N41" i="9" s="1"/>
  <c r="O41" i="9" s="1"/>
  <c r="R52" i="9" s="1"/>
  <c r="C40" i="9"/>
  <c r="AG66" i="7"/>
  <c r="AH66" i="7" s="1"/>
  <c r="AE66" i="7"/>
  <c r="AF66" i="7" s="1"/>
  <c r="AB66" i="7"/>
  <c r="AC66" i="7" s="1"/>
  <c r="X66" i="7"/>
  <c r="W66" i="7"/>
  <c r="V66" i="7"/>
  <c r="U66" i="7"/>
  <c r="T66" i="7"/>
  <c r="S66" i="7"/>
  <c r="R66" i="7"/>
  <c r="F66" i="7"/>
  <c r="D66" i="7"/>
  <c r="C66" i="7"/>
  <c r="AH111" i="2"/>
  <c r="AE111" i="2"/>
  <c r="AF111" i="2" s="1"/>
  <c r="AB111" i="2"/>
  <c r="X111" i="2"/>
  <c r="W111" i="2"/>
  <c r="V111" i="2"/>
  <c r="U111" i="2"/>
  <c r="T111" i="2"/>
  <c r="S111" i="2"/>
  <c r="D111" i="2"/>
  <c r="M112" i="2" s="1"/>
  <c r="N112" i="2" s="1"/>
  <c r="C111" i="2"/>
  <c r="AL154" i="1"/>
  <c r="AF154" i="1"/>
  <c r="AG154" i="1" s="1"/>
  <c r="AC154" i="1"/>
  <c r="AB154" i="1"/>
  <c r="AA154" i="1"/>
  <c r="Z154" i="1"/>
  <c r="Y154" i="1"/>
  <c r="X154" i="1"/>
  <c r="W154" i="1"/>
  <c r="V154" i="1"/>
  <c r="P154" i="1"/>
  <c r="I154" i="1"/>
  <c r="E154" i="1"/>
  <c r="D154" i="1"/>
  <c r="C154" i="1"/>
  <c r="AA85" i="13" l="1"/>
  <c r="Z86" i="13"/>
  <c r="O114" i="2"/>
  <c r="Q123" i="2"/>
  <c r="P117" i="2"/>
  <c r="S158" i="1"/>
  <c r="T167" i="1"/>
  <c r="P43" i="9"/>
  <c r="Q46" i="9"/>
  <c r="AO154" i="1"/>
  <c r="AT154" i="1"/>
  <c r="AP154" i="1"/>
  <c r="AD66" i="7"/>
  <c r="AQ154" i="1"/>
  <c r="AO66" i="7"/>
  <c r="M67" i="7"/>
  <c r="N67" i="7" s="1"/>
  <c r="Q155" i="1"/>
  <c r="R155" i="1" s="1"/>
  <c r="U172" i="1" s="1"/>
  <c r="AP12" i="13"/>
  <c r="N13" i="13"/>
  <c r="O13" i="13" s="1"/>
  <c r="F12" i="11"/>
  <c r="N13" i="11"/>
  <c r="O13" i="11" s="1"/>
  <c r="AM155" i="1"/>
  <c r="AH155" i="1"/>
  <c r="G154" i="1"/>
  <c r="H155" i="1"/>
  <c r="AR155" i="1"/>
  <c r="AS155" i="1"/>
  <c r="AQ155" i="1"/>
  <c r="AK155" i="1"/>
  <c r="AG155" i="1"/>
  <c r="AN12" i="11"/>
  <c r="AL12" i="13"/>
  <c r="AK154" i="1"/>
  <c r="AR154" i="1"/>
  <c r="AN40" i="9"/>
  <c r="AN12" i="13"/>
  <c r="AH154" i="1"/>
  <c r="AC111" i="2"/>
  <c r="AO12" i="13"/>
  <c r="AR12" i="13"/>
  <c r="AM12" i="13"/>
  <c r="AQ12" i="13"/>
  <c r="AI12" i="13"/>
  <c r="AK12" i="13"/>
  <c r="AM12" i="11"/>
  <c r="AQ12" i="11"/>
  <c r="AL12" i="11"/>
  <c r="AP12" i="11"/>
  <c r="AK12" i="11"/>
  <c r="AO12" i="11"/>
  <c r="AR12" i="11"/>
  <c r="AI12" i="11"/>
  <c r="F40" i="9"/>
  <c r="AM40" i="9"/>
  <c r="AQ40" i="9"/>
  <c r="AR40" i="9"/>
  <c r="AO40" i="9"/>
  <c r="AL40" i="9"/>
  <c r="AP40" i="9"/>
  <c r="AI40" i="9"/>
  <c r="AK40" i="9"/>
  <c r="AM66" i="7"/>
  <c r="AQ66" i="7"/>
  <c r="E66" i="7"/>
  <c r="AL66" i="7"/>
  <c r="AP66" i="7"/>
  <c r="AN66" i="7"/>
  <c r="AJ66" i="7"/>
  <c r="AK66" i="7" s="1"/>
  <c r="AR66" i="7"/>
  <c r="AI66" i="7"/>
  <c r="AI111" i="2"/>
  <c r="AN111" i="2"/>
  <c r="AM111" i="2"/>
  <c r="AQ111" i="2"/>
  <c r="AG111" i="2"/>
  <c r="AL111" i="2"/>
  <c r="AP111" i="2"/>
  <c r="AK111" i="2"/>
  <c r="AO111" i="2"/>
  <c r="E111" i="2"/>
  <c r="AS154" i="1"/>
  <c r="AM154" i="1"/>
  <c r="C153" i="1"/>
  <c r="C152" i="1"/>
  <c r="C151" i="1"/>
  <c r="C150" i="1"/>
  <c r="C149" i="1"/>
  <c r="AA86" i="13" l="1"/>
  <c r="Z87" i="13"/>
  <c r="R24" i="13"/>
  <c r="P15" i="13"/>
  <c r="Q18" i="13"/>
  <c r="P15" i="11"/>
  <c r="Q18" i="11"/>
  <c r="R24" i="11"/>
  <c r="O69" i="7"/>
  <c r="P72" i="7"/>
  <c r="Q78" i="7"/>
  <c r="S157" i="1"/>
  <c r="T166" i="1"/>
  <c r="AJ11" i="13"/>
  <c r="AG11" i="13"/>
  <c r="AH11" i="13" s="1"/>
  <c r="AE11" i="13"/>
  <c r="AF11" i="13" s="1"/>
  <c r="AB11" i="13"/>
  <c r="Y11" i="13"/>
  <c r="Z12" i="13" s="1"/>
  <c r="AA12" i="13" s="1"/>
  <c r="X11" i="13"/>
  <c r="W11" i="13"/>
  <c r="V11" i="13"/>
  <c r="U11" i="13"/>
  <c r="T11" i="13"/>
  <c r="S11" i="13"/>
  <c r="G11" i="13"/>
  <c r="E11" i="13"/>
  <c r="D11" i="13"/>
  <c r="C11" i="13"/>
  <c r="AJ11" i="11"/>
  <c r="AG11" i="11"/>
  <c r="AH11" i="11" s="1"/>
  <c r="AE11" i="11"/>
  <c r="AF11" i="11" s="1"/>
  <c r="AB11" i="11"/>
  <c r="Y11" i="11"/>
  <c r="X11" i="11"/>
  <c r="W11" i="11"/>
  <c r="V11" i="11"/>
  <c r="U11" i="11"/>
  <c r="T11" i="11"/>
  <c r="S11" i="11"/>
  <c r="G11" i="11"/>
  <c r="E11" i="11"/>
  <c r="D11" i="11"/>
  <c r="C11" i="11"/>
  <c r="AJ39" i="9"/>
  <c r="AG39" i="9"/>
  <c r="AH39" i="9" s="1"/>
  <c r="AE39" i="9"/>
  <c r="AF39" i="9" s="1"/>
  <c r="AB39" i="9"/>
  <c r="Y39" i="9"/>
  <c r="X39" i="9"/>
  <c r="W39" i="9"/>
  <c r="V39" i="9"/>
  <c r="U39" i="9"/>
  <c r="T39" i="9"/>
  <c r="S39" i="9"/>
  <c r="G39" i="9"/>
  <c r="D39" i="9"/>
  <c r="C39" i="9"/>
  <c r="AG65" i="7"/>
  <c r="AH65" i="7" s="1"/>
  <c r="AE65" i="7"/>
  <c r="AF65" i="7" s="1"/>
  <c r="AB65" i="7"/>
  <c r="AJ65" i="7" s="1"/>
  <c r="Y65" i="7"/>
  <c r="X65" i="7"/>
  <c r="W65" i="7"/>
  <c r="V65" i="7"/>
  <c r="U65" i="7"/>
  <c r="T65" i="7"/>
  <c r="S65" i="7"/>
  <c r="R65" i="7"/>
  <c r="F65" i="7"/>
  <c r="D65" i="7"/>
  <c r="M66" i="7" s="1"/>
  <c r="N66" i="7" s="1"/>
  <c r="Q77" i="7" s="1"/>
  <c r="C65" i="7"/>
  <c r="AH110" i="2"/>
  <c r="AE110" i="2"/>
  <c r="AF110" i="2" s="1"/>
  <c r="AB110" i="2"/>
  <c r="X110" i="2"/>
  <c r="W110" i="2"/>
  <c r="V110" i="2"/>
  <c r="U110" i="2"/>
  <c r="T110" i="2"/>
  <c r="S110" i="2"/>
  <c r="D110" i="2"/>
  <c r="AQ110" i="2" s="1"/>
  <c r="C110" i="2"/>
  <c r="AL153" i="1"/>
  <c r="AF153" i="1"/>
  <c r="AC153" i="1"/>
  <c r="AB153" i="1"/>
  <c r="AA153" i="1"/>
  <c r="Z153" i="1"/>
  <c r="Y153" i="1"/>
  <c r="X153" i="1"/>
  <c r="W153" i="1"/>
  <c r="V153" i="1"/>
  <c r="P153" i="1"/>
  <c r="I153" i="1"/>
  <c r="D153" i="1"/>
  <c r="E153" i="1"/>
  <c r="G153" i="1" s="1"/>
  <c r="AA87" i="13" l="1"/>
  <c r="Z88" i="13"/>
  <c r="AA88" i="13" s="1"/>
  <c r="AL39" i="9"/>
  <c r="AL11" i="13"/>
  <c r="O68" i="7"/>
  <c r="P71" i="7"/>
  <c r="AM39" i="9"/>
  <c r="AM110" i="2"/>
  <c r="AP65" i="7"/>
  <c r="AM65" i="7"/>
  <c r="AL11" i="11"/>
  <c r="AR11" i="11"/>
  <c r="AN65" i="7"/>
  <c r="AN11" i="11"/>
  <c r="AQ11" i="11"/>
  <c r="AN110" i="2"/>
  <c r="AM11" i="11"/>
  <c r="AQ39" i="9"/>
  <c r="N40" i="9"/>
  <c r="O40" i="9" s="1"/>
  <c r="R51" i="9" s="1"/>
  <c r="AG110" i="2"/>
  <c r="M111" i="2"/>
  <c r="N111" i="2" s="1"/>
  <c r="Q122" i="2" s="1"/>
  <c r="F11" i="11"/>
  <c r="N12" i="11"/>
  <c r="O12" i="11" s="1"/>
  <c r="AO11" i="13"/>
  <c r="N12" i="13"/>
  <c r="O12" i="13" s="1"/>
  <c r="H154" i="1"/>
  <c r="Q154" i="1"/>
  <c r="R154" i="1" s="1"/>
  <c r="U171" i="1" s="1"/>
  <c r="AL65" i="7"/>
  <c r="AR65" i="7"/>
  <c r="AK39" i="9"/>
  <c r="AP11" i="11"/>
  <c r="AL110" i="2"/>
  <c r="AC11" i="13"/>
  <c r="AP11" i="13"/>
  <c r="AQ11" i="13"/>
  <c r="AK11" i="13"/>
  <c r="AO39" i="9"/>
  <c r="AP39" i="9"/>
  <c r="AR39" i="9"/>
  <c r="AC65" i="7"/>
  <c r="AR11" i="13"/>
  <c r="AM11" i="13"/>
  <c r="AN11" i="13"/>
  <c r="F11" i="13"/>
  <c r="AI11" i="13"/>
  <c r="AO11" i="11"/>
  <c r="AC11" i="11"/>
  <c r="AI11" i="11"/>
  <c r="AK11" i="11"/>
  <c r="AN39" i="9"/>
  <c r="AC39" i="9"/>
  <c r="AI39" i="9"/>
  <c r="F39" i="9"/>
  <c r="AQ65" i="7"/>
  <c r="AK65" i="7"/>
  <c r="AO65" i="7"/>
  <c r="AD65" i="7"/>
  <c r="E65" i="7"/>
  <c r="AI65" i="7"/>
  <c r="AO110" i="2"/>
  <c r="E110" i="2"/>
  <c r="AC110" i="2"/>
  <c r="AI110" i="2"/>
  <c r="AP110" i="2"/>
  <c r="AK110" i="2"/>
  <c r="AO153" i="1"/>
  <c r="AQ153" i="1"/>
  <c r="AT153" i="1"/>
  <c r="AP153" i="1"/>
  <c r="AM153" i="1"/>
  <c r="AR153" i="1"/>
  <c r="AS153" i="1"/>
  <c r="AH153" i="1"/>
  <c r="AG153" i="1"/>
  <c r="AK153" i="1"/>
  <c r="AJ10" i="13"/>
  <c r="AG10" i="13"/>
  <c r="AH10" i="13" s="1"/>
  <c r="AE10" i="13"/>
  <c r="AF10" i="13" s="1"/>
  <c r="AB10" i="13"/>
  <c r="Y10" i="13"/>
  <c r="Z11" i="13" s="1"/>
  <c r="AA11" i="13" s="1"/>
  <c r="X10" i="13"/>
  <c r="W10" i="13"/>
  <c r="V10" i="13"/>
  <c r="U10" i="13"/>
  <c r="T10" i="13"/>
  <c r="S10" i="13"/>
  <c r="G10" i="13"/>
  <c r="E10" i="13"/>
  <c r="D10" i="13"/>
  <c r="C10" i="13"/>
  <c r="AJ10" i="11"/>
  <c r="AG10" i="11"/>
  <c r="AH10" i="11" s="1"/>
  <c r="AE10" i="11"/>
  <c r="AF10" i="11" s="1"/>
  <c r="AB10" i="11"/>
  <c r="Y10" i="11"/>
  <c r="X10" i="11"/>
  <c r="W10" i="11"/>
  <c r="V10" i="11"/>
  <c r="U10" i="11"/>
  <c r="T10" i="11"/>
  <c r="S10" i="11"/>
  <c r="G10" i="11"/>
  <c r="E10" i="11"/>
  <c r="D10" i="11"/>
  <c r="F10" i="11" s="1"/>
  <c r="C10" i="11"/>
  <c r="AJ38" i="9"/>
  <c r="AG38" i="9"/>
  <c r="AH38" i="9" s="1"/>
  <c r="AE38" i="9"/>
  <c r="AF38" i="9" s="1"/>
  <c r="AB38" i="9"/>
  <c r="AC38" i="9" s="1"/>
  <c r="Y38" i="9"/>
  <c r="X38" i="9"/>
  <c r="W38" i="9"/>
  <c r="V38" i="9"/>
  <c r="U38" i="9"/>
  <c r="T38" i="9"/>
  <c r="S38" i="9"/>
  <c r="G38" i="9"/>
  <c r="D38" i="9"/>
  <c r="C38" i="9"/>
  <c r="AG64" i="7"/>
  <c r="AH64" i="7" s="1"/>
  <c r="AE64" i="7"/>
  <c r="AF64" i="7" s="1"/>
  <c r="AB64" i="7"/>
  <c r="AJ64" i="7" s="1"/>
  <c r="Y64" i="7"/>
  <c r="X64" i="7"/>
  <c r="W64" i="7"/>
  <c r="V64" i="7"/>
  <c r="U64" i="7"/>
  <c r="T64" i="7"/>
  <c r="S64" i="7"/>
  <c r="R64" i="7"/>
  <c r="F64" i="7"/>
  <c r="D64" i="7"/>
  <c r="M65" i="7" s="1"/>
  <c r="N65" i="7" s="1"/>
  <c r="Q76" i="7" s="1"/>
  <c r="C64" i="7"/>
  <c r="AH109" i="2"/>
  <c r="AE109" i="2"/>
  <c r="AF109" i="2" s="1"/>
  <c r="AB109" i="2"/>
  <c r="X109" i="2"/>
  <c r="W109" i="2"/>
  <c r="V109" i="2"/>
  <c r="U109" i="2"/>
  <c r="T109" i="2"/>
  <c r="S109" i="2"/>
  <c r="D109" i="2"/>
  <c r="M110" i="2" s="1"/>
  <c r="N110" i="2" s="1"/>
  <c r="C109" i="2"/>
  <c r="AL152" i="1"/>
  <c r="AF152" i="1"/>
  <c r="AG152" i="1" s="1"/>
  <c r="AC152" i="1"/>
  <c r="AB152" i="1"/>
  <c r="AA152" i="1"/>
  <c r="Z152" i="1"/>
  <c r="Y152" i="1"/>
  <c r="X152" i="1"/>
  <c r="W152" i="1"/>
  <c r="V152" i="1"/>
  <c r="P152" i="1"/>
  <c r="I152" i="1"/>
  <c r="E152" i="1"/>
  <c r="Q153" i="1" s="1"/>
  <c r="R153" i="1" s="1"/>
  <c r="D152" i="1"/>
  <c r="AJ9" i="13"/>
  <c r="AG9" i="13"/>
  <c r="AH9" i="13" s="1"/>
  <c r="AE9" i="13"/>
  <c r="AF9" i="13" s="1"/>
  <c r="AB9" i="13"/>
  <c r="Y9" i="13"/>
  <c r="X9" i="13"/>
  <c r="W9" i="13"/>
  <c r="V9" i="13"/>
  <c r="U9" i="13"/>
  <c r="T9" i="13"/>
  <c r="S9" i="13"/>
  <c r="G9" i="13"/>
  <c r="E9" i="13"/>
  <c r="D9" i="13"/>
  <c r="C9" i="13"/>
  <c r="AJ9" i="11"/>
  <c r="AG9" i="11"/>
  <c r="AH9" i="11" s="1"/>
  <c r="AE9" i="11"/>
  <c r="AF9" i="11" s="1"/>
  <c r="AB9" i="11"/>
  <c r="Y9" i="11"/>
  <c r="X9" i="11"/>
  <c r="W9" i="11"/>
  <c r="V9" i="11"/>
  <c r="U9" i="11"/>
  <c r="T9" i="11"/>
  <c r="S9" i="11"/>
  <c r="G9" i="11"/>
  <c r="E9" i="11"/>
  <c r="D9" i="11"/>
  <c r="C9" i="11"/>
  <c r="AJ37" i="9"/>
  <c r="AG37" i="9"/>
  <c r="AH37" i="9" s="1"/>
  <c r="AE37" i="9"/>
  <c r="AF37" i="9" s="1"/>
  <c r="AB37" i="9"/>
  <c r="AC37" i="9" s="1"/>
  <c r="Y37" i="9"/>
  <c r="Y36" i="9"/>
  <c r="X37" i="9"/>
  <c r="W37" i="9"/>
  <c r="V37" i="9"/>
  <c r="U37" i="9"/>
  <c r="T37" i="9"/>
  <c r="S37" i="9"/>
  <c r="G37" i="9"/>
  <c r="D37" i="9"/>
  <c r="C37" i="9"/>
  <c r="AG63" i="7"/>
  <c r="AH63" i="7" s="1"/>
  <c r="AE63" i="7"/>
  <c r="AF63" i="7" s="1"/>
  <c r="AB63" i="7"/>
  <c r="AC63" i="7" s="1"/>
  <c r="Y63" i="7"/>
  <c r="X63" i="7"/>
  <c r="W63" i="7"/>
  <c r="V63" i="7"/>
  <c r="U63" i="7"/>
  <c r="T63" i="7"/>
  <c r="S63" i="7"/>
  <c r="R63" i="7"/>
  <c r="F63" i="7"/>
  <c r="D63" i="7"/>
  <c r="E63" i="7" s="1"/>
  <c r="C63" i="7"/>
  <c r="AH108" i="2"/>
  <c r="AE108" i="2"/>
  <c r="AF108" i="2" s="1"/>
  <c r="AB108" i="2"/>
  <c r="X108" i="2"/>
  <c r="W108" i="2"/>
  <c r="V108" i="2"/>
  <c r="U108" i="2"/>
  <c r="T108" i="2"/>
  <c r="S108" i="2"/>
  <c r="D108" i="2"/>
  <c r="C108" i="2"/>
  <c r="AL151" i="1"/>
  <c r="AF151" i="1"/>
  <c r="AB151" i="1"/>
  <c r="AA151" i="1"/>
  <c r="Z151" i="1"/>
  <c r="Y151" i="1"/>
  <c r="X151" i="1"/>
  <c r="W151" i="1"/>
  <c r="V151" i="1"/>
  <c r="P151" i="1"/>
  <c r="I151" i="1"/>
  <c r="E151" i="1"/>
  <c r="D151" i="1"/>
  <c r="AJ8" i="13"/>
  <c r="AG8" i="13"/>
  <c r="AH8" i="13" s="1"/>
  <c r="AE8" i="13"/>
  <c r="AF8" i="13" s="1"/>
  <c r="AB8" i="13"/>
  <c r="Y8" i="13"/>
  <c r="X8" i="13"/>
  <c r="W8" i="13"/>
  <c r="V8" i="13"/>
  <c r="U8" i="13"/>
  <c r="T8" i="13"/>
  <c r="S8" i="13"/>
  <c r="G8" i="13"/>
  <c r="E8" i="13"/>
  <c r="D8" i="13"/>
  <c r="C8" i="13"/>
  <c r="AJ8" i="11"/>
  <c r="AG8" i="11"/>
  <c r="AH8" i="11" s="1"/>
  <c r="AE8" i="11"/>
  <c r="AF8" i="11" s="1"/>
  <c r="AB8" i="11"/>
  <c r="AC8" i="11" s="1"/>
  <c r="Y8" i="11"/>
  <c r="X8" i="11"/>
  <c r="W8" i="11"/>
  <c r="V8" i="11"/>
  <c r="U8" i="11"/>
  <c r="T8" i="11"/>
  <c r="S8" i="11"/>
  <c r="G8" i="11"/>
  <c r="E8" i="11"/>
  <c r="D8" i="11"/>
  <c r="C8" i="11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J36" i="9"/>
  <c r="AG36" i="9"/>
  <c r="AH36" i="9" s="1"/>
  <c r="AE36" i="9"/>
  <c r="AB36" i="9"/>
  <c r="AC36" i="9" s="1"/>
  <c r="X36" i="9"/>
  <c r="W36" i="9"/>
  <c r="V36" i="9"/>
  <c r="U36" i="9"/>
  <c r="T36" i="9"/>
  <c r="S36" i="9"/>
  <c r="G36" i="9"/>
  <c r="D36" i="9"/>
  <c r="C36" i="9"/>
  <c r="AF36" i="9"/>
  <c r="AG62" i="7"/>
  <c r="AH62" i="7" s="1"/>
  <c r="AE62" i="7"/>
  <c r="AF62" i="7" s="1"/>
  <c r="AB62" i="7"/>
  <c r="AJ62" i="7" s="1"/>
  <c r="Y62" i="7"/>
  <c r="X62" i="7"/>
  <c r="W62" i="7"/>
  <c r="V62" i="7"/>
  <c r="U62" i="7"/>
  <c r="T62" i="7"/>
  <c r="S62" i="7"/>
  <c r="R62" i="7"/>
  <c r="F62" i="7"/>
  <c r="D62" i="7"/>
  <c r="C62" i="7"/>
  <c r="AH107" i="2"/>
  <c r="AE107" i="2"/>
  <c r="AF107" i="2" s="1"/>
  <c r="AB107" i="2"/>
  <c r="AC107" i="2" s="1"/>
  <c r="X107" i="2"/>
  <c r="W107" i="2"/>
  <c r="V107" i="2"/>
  <c r="U107" i="2"/>
  <c r="T107" i="2"/>
  <c r="S107" i="2"/>
  <c r="D107" i="2"/>
  <c r="C107" i="2"/>
  <c r="AL150" i="1"/>
  <c r="AF150" i="1"/>
  <c r="AG150" i="1" s="1"/>
  <c r="AB150" i="1"/>
  <c r="AA150" i="1"/>
  <c r="Z150" i="1"/>
  <c r="Y150" i="1"/>
  <c r="X150" i="1"/>
  <c r="W150" i="1"/>
  <c r="V150" i="1"/>
  <c r="P150" i="1"/>
  <c r="I150" i="1"/>
  <c r="E150" i="1"/>
  <c r="G150" i="1" s="1"/>
  <c r="D150" i="1"/>
  <c r="AJ7" i="13"/>
  <c r="AG7" i="13"/>
  <c r="AH7" i="13" s="1"/>
  <c r="AE7" i="13"/>
  <c r="AF7" i="13" s="1"/>
  <c r="AB7" i="13"/>
  <c r="AC7" i="13" s="1"/>
  <c r="Y7" i="13"/>
  <c r="Z7" i="13" s="1"/>
  <c r="AA7" i="13" s="1"/>
  <c r="X7" i="13"/>
  <c r="W7" i="13"/>
  <c r="V7" i="13"/>
  <c r="U7" i="13"/>
  <c r="T7" i="13"/>
  <c r="S7" i="13"/>
  <c r="G7" i="13"/>
  <c r="N7" i="13" s="1"/>
  <c r="O7" i="13" s="1"/>
  <c r="E7" i="13"/>
  <c r="D7" i="13"/>
  <c r="C7" i="13"/>
  <c r="A7" i="13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B7" i="13"/>
  <c r="B8" i="13" s="1"/>
  <c r="B9" i="13" s="1"/>
  <c r="B10" i="13" s="1"/>
  <c r="B11" i="13" s="1"/>
  <c r="B12" i="13" s="1"/>
  <c r="B13" i="13" s="1"/>
  <c r="B14" i="13" s="1"/>
  <c r="B15" i="13" s="1"/>
  <c r="B16" i="13" s="1"/>
  <c r="B17" i="13" s="1"/>
  <c r="B18" i="13" s="1"/>
  <c r="B19" i="13" s="1"/>
  <c r="B20" i="13" s="1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AJ7" i="11"/>
  <c r="AG7" i="11"/>
  <c r="AH7" i="11" s="1"/>
  <c r="AE7" i="11"/>
  <c r="AF7" i="11" s="1"/>
  <c r="AB7" i="11"/>
  <c r="AC7" i="11" s="1"/>
  <c r="Y7" i="11"/>
  <c r="Z7" i="11" s="1"/>
  <c r="AA7" i="11" s="1"/>
  <c r="X7" i="11"/>
  <c r="W7" i="11"/>
  <c r="V7" i="11"/>
  <c r="U7" i="11"/>
  <c r="T7" i="11"/>
  <c r="S7" i="11"/>
  <c r="G7" i="11"/>
  <c r="N7" i="11" s="1"/>
  <c r="O7" i="11" s="1"/>
  <c r="E7" i="11"/>
  <c r="D7" i="11"/>
  <c r="C7" i="11"/>
  <c r="B7" i="1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AJ35" i="9"/>
  <c r="AG35" i="9"/>
  <c r="AH35" i="9" s="1"/>
  <c r="AE35" i="9"/>
  <c r="AF35" i="9" s="1"/>
  <c r="AB35" i="9"/>
  <c r="AC35" i="9" s="1"/>
  <c r="Y35" i="9"/>
  <c r="X35" i="9"/>
  <c r="W35" i="9"/>
  <c r="V35" i="9"/>
  <c r="U35" i="9"/>
  <c r="T35" i="9"/>
  <c r="S35" i="9"/>
  <c r="G35" i="9"/>
  <c r="N35" i="9" s="1"/>
  <c r="O35" i="9" s="1"/>
  <c r="D35" i="9"/>
  <c r="C35" i="9"/>
  <c r="AG61" i="7"/>
  <c r="AH61" i="7" s="1"/>
  <c r="AE61" i="7"/>
  <c r="AF61" i="7" s="1"/>
  <c r="AB61" i="7"/>
  <c r="AJ61" i="7" s="1"/>
  <c r="Y61" i="7"/>
  <c r="X61" i="7"/>
  <c r="W61" i="7"/>
  <c r="V61" i="7"/>
  <c r="U61" i="7"/>
  <c r="T61" i="7"/>
  <c r="S61" i="7"/>
  <c r="R61" i="7"/>
  <c r="F61" i="7"/>
  <c r="M61" i="7" s="1"/>
  <c r="N61" i="7" s="1"/>
  <c r="D61" i="7"/>
  <c r="C61" i="7"/>
  <c r="AH106" i="2"/>
  <c r="AE106" i="2"/>
  <c r="AF106" i="2" s="1"/>
  <c r="AB106" i="2"/>
  <c r="AC106" i="2" s="1"/>
  <c r="X106" i="2"/>
  <c r="W106" i="2"/>
  <c r="V106" i="2"/>
  <c r="U106" i="2"/>
  <c r="T106" i="2"/>
  <c r="S106" i="2"/>
  <c r="R106" i="2"/>
  <c r="M106" i="2"/>
  <c r="N106" i="2" s="1"/>
  <c r="D106" i="2"/>
  <c r="C106" i="2"/>
  <c r="AL149" i="1"/>
  <c r="AF149" i="1"/>
  <c r="AC149" i="1"/>
  <c r="AB149" i="1"/>
  <c r="AA149" i="1"/>
  <c r="Z149" i="1"/>
  <c r="Y149" i="1"/>
  <c r="X149" i="1"/>
  <c r="W149" i="1"/>
  <c r="V149" i="1"/>
  <c r="P149" i="1"/>
  <c r="I149" i="1"/>
  <c r="E149" i="1"/>
  <c r="D149" i="1"/>
  <c r="AJ63" i="7" l="1"/>
  <c r="AK63" i="7" s="1"/>
  <c r="Q121" i="2"/>
  <c r="U170" i="1"/>
  <c r="P14" i="11"/>
  <c r="R23" i="11"/>
  <c r="Q17" i="11"/>
  <c r="T164" i="1"/>
  <c r="R23" i="13"/>
  <c r="Q17" i="13"/>
  <c r="P14" i="13"/>
  <c r="S156" i="1"/>
  <c r="T165" i="1"/>
  <c r="O113" i="2"/>
  <c r="P116" i="2"/>
  <c r="P42" i="9"/>
  <c r="Q45" i="9"/>
  <c r="AQ151" i="1"/>
  <c r="P70" i="7"/>
  <c r="O67" i="7"/>
  <c r="P115" i="2"/>
  <c r="O112" i="2"/>
  <c r="AN10" i="11"/>
  <c r="S155" i="1"/>
  <c r="AM8" i="13"/>
  <c r="M109" i="2"/>
  <c r="N109" i="2" s="1"/>
  <c r="Q120" i="2" s="1"/>
  <c r="AO151" i="1"/>
  <c r="AN37" i="9"/>
  <c r="AO64" i="7"/>
  <c r="AP150" i="1"/>
  <c r="Q151" i="1"/>
  <c r="R151" i="1" s="1"/>
  <c r="Q152" i="1"/>
  <c r="R152" i="1" s="1"/>
  <c r="U169" i="1" s="1"/>
  <c r="AH152" i="1"/>
  <c r="F10" i="13"/>
  <c r="N11" i="13"/>
  <c r="O11" i="13" s="1"/>
  <c r="N10" i="11"/>
  <c r="O10" i="11" s="1"/>
  <c r="AL10" i="11"/>
  <c r="N11" i="11"/>
  <c r="O11" i="11" s="1"/>
  <c r="AI38" i="9"/>
  <c r="N39" i="9"/>
  <c r="O39" i="9" s="1"/>
  <c r="R50" i="9" s="1"/>
  <c r="AO38" i="9"/>
  <c r="AR38" i="9"/>
  <c r="M62" i="7"/>
  <c r="N62" i="7" s="1"/>
  <c r="AQ64" i="7"/>
  <c r="AP64" i="7"/>
  <c r="AO109" i="2"/>
  <c r="AL64" i="7"/>
  <c r="AR64" i="7"/>
  <c r="AQ38" i="9"/>
  <c r="AM38" i="9"/>
  <c r="AP10" i="13"/>
  <c r="AI9" i="13"/>
  <c r="AP152" i="1"/>
  <c r="AQ10" i="13"/>
  <c r="AN36" i="9"/>
  <c r="G152" i="1"/>
  <c r="AL109" i="2"/>
  <c r="AG109" i="2"/>
  <c r="AP38" i="9"/>
  <c r="AQ10" i="11"/>
  <c r="AN10" i="13"/>
  <c r="AM10" i="13"/>
  <c r="F38" i="9"/>
  <c r="N38" i="9"/>
  <c r="O38" i="9" s="1"/>
  <c r="AR10" i="11"/>
  <c r="AS152" i="1"/>
  <c r="AT152" i="1"/>
  <c r="AN109" i="2"/>
  <c r="AL38" i="9"/>
  <c r="AR151" i="1"/>
  <c r="AQ37" i="9"/>
  <c r="AM9" i="13"/>
  <c r="AR152" i="1"/>
  <c r="AQ152" i="1"/>
  <c r="AO10" i="11"/>
  <c r="AI8" i="11"/>
  <c r="AQ8" i="13"/>
  <c r="AS151" i="1"/>
  <c r="AP108" i="2"/>
  <c r="H152" i="1"/>
  <c r="AH150" i="1"/>
  <c r="Z9" i="13"/>
  <c r="AA9" i="13" s="1"/>
  <c r="G151" i="1"/>
  <c r="AT151" i="1"/>
  <c r="AM152" i="1"/>
  <c r="AM109" i="2"/>
  <c r="M64" i="7"/>
  <c r="N64" i="7" s="1"/>
  <c r="Q75" i="7" s="1"/>
  <c r="N10" i="13"/>
  <c r="O10" i="13" s="1"/>
  <c r="AP151" i="1"/>
  <c r="AK151" i="1"/>
  <c r="F37" i="9"/>
  <c r="AP9" i="11"/>
  <c r="AO9" i="11"/>
  <c r="AO152" i="1"/>
  <c r="AK38" i="9"/>
  <c r="AM10" i="11"/>
  <c r="AL10" i="13"/>
  <c r="AR10" i="13"/>
  <c r="H153" i="1"/>
  <c r="AO10" i="13"/>
  <c r="AK10" i="13"/>
  <c r="AC10" i="13"/>
  <c r="AI10" i="13"/>
  <c r="Z10" i="13"/>
  <c r="AA10" i="13" s="1"/>
  <c r="AP10" i="11"/>
  <c r="AK10" i="11"/>
  <c r="AC10" i="11"/>
  <c r="AI10" i="11"/>
  <c r="AN38" i="9"/>
  <c r="AM64" i="7"/>
  <c r="AK64" i="7"/>
  <c r="AN64" i="7"/>
  <c r="E64" i="7"/>
  <c r="AC64" i="7"/>
  <c r="AI64" i="7"/>
  <c r="AD64" i="7"/>
  <c r="F9" i="11"/>
  <c r="AQ109" i="2"/>
  <c r="E109" i="2"/>
  <c r="AC109" i="2"/>
  <c r="AI109" i="2"/>
  <c r="AP109" i="2"/>
  <c r="AK109" i="2"/>
  <c r="AK152" i="1"/>
  <c r="N8" i="11"/>
  <c r="O8" i="11" s="1"/>
  <c r="N8" i="13"/>
  <c r="O8" i="13" s="1"/>
  <c r="AT150" i="1"/>
  <c r="F8" i="13"/>
  <c r="AK8" i="13"/>
  <c r="AH151" i="1"/>
  <c r="AQ9" i="11"/>
  <c r="AM37" i="9"/>
  <c r="AN9" i="13"/>
  <c r="AL9" i="13"/>
  <c r="AR9" i="13"/>
  <c r="AL8" i="13"/>
  <c r="AP37" i="9"/>
  <c r="AL37" i="9"/>
  <c r="AM9" i="11"/>
  <c r="AI9" i="11"/>
  <c r="F9" i="13"/>
  <c r="AQ9" i="13"/>
  <c r="H151" i="1"/>
  <c r="AM36" i="9"/>
  <c r="AM151" i="1"/>
  <c r="AR37" i="9"/>
  <c r="AC9" i="13"/>
  <c r="AN8" i="13"/>
  <c r="AO9" i="13"/>
  <c r="AO37" i="9"/>
  <c r="AP9" i="13"/>
  <c r="AK9" i="13"/>
  <c r="AM8" i="11"/>
  <c r="AQ8" i="11"/>
  <c r="AO63" i="7"/>
  <c r="AL9" i="11"/>
  <c r="AQ150" i="1"/>
  <c r="AN107" i="2"/>
  <c r="AO8" i="13"/>
  <c r="M63" i="7"/>
  <c r="N63" i="7" s="1"/>
  <c r="AN63" i="7"/>
  <c r="AR63" i="7"/>
  <c r="AC9" i="11"/>
  <c r="AN9" i="11"/>
  <c r="AR9" i="11"/>
  <c r="AK9" i="11"/>
  <c r="AM63" i="7"/>
  <c r="AQ63" i="7"/>
  <c r="AG151" i="1"/>
  <c r="AL63" i="7"/>
  <c r="AP63" i="7"/>
  <c r="N9" i="13"/>
  <c r="O9" i="13" s="1"/>
  <c r="AC8" i="13"/>
  <c r="AI8" i="13"/>
  <c r="AP8" i="13"/>
  <c r="AO8" i="11"/>
  <c r="N9" i="11"/>
  <c r="O9" i="11" s="1"/>
  <c r="AN8" i="11"/>
  <c r="AR8" i="11"/>
  <c r="AK37" i="9"/>
  <c r="AI37" i="9"/>
  <c r="N37" i="9"/>
  <c r="O37" i="9" s="1"/>
  <c r="N36" i="9"/>
  <c r="O36" i="9" s="1"/>
  <c r="AQ36" i="9"/>
  <c r="AR36" i="9"/>
  <c r="AI63" i="7"/>
  <c r="AD63" i="7"/>
  <c r="AL62" i="7"/>
  <c r="AP62" i="7"/>
  <c r="AO62" i="7"/>
  <c r="AI108" i="2"/>
  <c r="AI107" i="2"/>
  <c r="M108" i="2"/>
  <c r="N108" i="2" s="1"/>
  <c r="AK108" i="2"/>
  <c r="AO108" i="2"/>
  <c r="AM106" i="2"/>
  <c r="M107" i="2"/>
  <c r="N107" i="2" s="1"/>
  <c r="AL108" i="2"/>
  <c r="AN108" i="2"/>
  <c r="E108" i="2"/>
  <c r="AG108" i="2"/>
  <c r="AM108" i="2"/>
  <c r="AQ108" i="2"/>
  <c r="AC108" i="2"/>
  <c r="Q150" i="1"/>
  <c r="R150" i="1" s="1"/>
  <c r="AI36" i="9"/>
  <c r="AK8" i="11"/>
  <c r="AL8" i="11"/>
  <c r="AP8" i="11"/>
  <c r="Z8" i="13"/>
  <c r="AA8" i="13" s="1"/>
  <c r="AR150" i="1"/>
  <c r="AK107" i="2"/>
  <c r="AO107" i="2"/>
  <c r="AR62" i="7"/>
  <c r="AM62" i="7"/>
  <c r="AQ62" i="7"/>
  <c r="AK62" i="7"/>
  <c r="E62" i="7"/>
  <c r="AC62" i="7"/>
  <c r="AI62" i="7"/>
  <c r="AN62" i="7"/>
  <c r="AK36" i="9"/>
  <c r="AO36" i="9"/>
  <c r="Z8" i="11"/>
  <c r="Z9" i="11" s="1"/>
  <c r="Z10" i="11" s="1"/>
  <c r="AO150" i="1"/>
  <c r="AD62" i="7"/>
  <c r="AR8" i="13"/>
  <c r="AL36" i="9"/>
  <c r="AP36" i="9"/>
  <c r="F36" i="9"/>
  <c r="AM107" i="2"/>
  <c r="AQ107" i="2"/>
  <c r="AG107" i="2"/>
  <c r="AL107" i="2"/>
  <c r="AP107" i="2"/>
  <c r="E107" i="2"/>
  <c r="H150" i="1"/>
  <c r="AK150" i="1"/>
  <c r="AS150" i="1"/>
  <c r="AM150" i="1"/>
  <c r="AP7" i="13"/>
  <c r="AK7" i="13"/>
  <c r="AO7" i="13"/>
  <c r="AN7" i="13"/>
  <c r="F7" i="13"/>
  <c r="AM7" i="13"/>
  <c r="AQ7" i="13"/>
  <c r="AI7" i="13"/>
  <c r="AR7" i="13"/>
  <c r="AL7" i="13"/>
  <c r="AR7" i="11"/>
  <c r="AL7" i="11"/>
  <c r="AP7" i="11"/>
  <c r="AM7" i="11"/>
  <c r="F7" i="11"/>
  <c r="AK7" i="11"/>
  <c r="AO7" i="11"/>
  <c r="AQ7" i="11"/>
  <c r="AI7" i="11"/>
  <c r="AN7" i="11"/>
  <c r="AQ35" i="9"/>
  <c r="AK35" i="9"/>
  <c r="AO35" i="9"/>
  <c r="AL35" i="9"/>
  <c r="F35" i="9"/>
  <c r="AI35" i="9"/>
  <c r="AN35" i="9"/>
  <c r="AR35" i="9"/>
  <c r="AP35" i="9"/>
  <c r="AM35" i="9"/>
  <c r="AD61" i="7"/>
  <c r="AC61" i="7"/>
  <c r="AP61" i="7"/>
  <c r="AK61" i="7"/>
  <c r="AO61" i="7"/>
  <c r="E61" i="7"/>
  <c r="AR61" i="7"/>
  <c r="AI61" i="7"/>
  <c r="AM61" i="7"/>
  <c r="AQ61" i="7"/>
  <c r="AN61" i="7"/>
  <c r="AL61" i="7"/>
  <c r="AP106" i="2"/>
  <c r="AK106" i="2"/>
  <c r="AO106" i="2"/>
  <c r="E106" i="2"/>
  <c r="AI106" i="2"/>
  <c r="AG106" i="2"/>
  <c r="AQ106" i="2"/>
  <c r="AN106" i="2"/>
  <c r="AL106" i="2"/>
  <c r="AO149" i="1"/>
  <c r="AP149" i="1"/>
  <c r="AQ149" i="1"/>
  <c r="AR149" i="1"/>
  <c r="AS149" i="1"/>
  <c r="AT149" i="1"/>
  <c r="AM149" i="1"/>
  <c r="AG149" i="1"/>
  <c r="AH149" i="1"/>
  <c r="AK149" i="1"/>
  <c r="Q149" i="1"/>
  <c r="R149" i="1" s="1"/>
  <c r="H148" i="1"/>
  <c r="H149" i="1"/>
  <c r="G149" i="1"/>
  <c r="Q13" i="11" l="1"/>
  <c r="P10" i="11"/>
  <c r="R19" i="11"/>
  <c r="P12" i="11"/>
  <c r="Q15" i="11"/>
  <c r="R21" i="11"/>
  <c r="Q12" i="11"/>
  <c r="R22" i="11"/>
  <c r="Q16" i="11"/>
  <c r="P13" i="11"/>
  <c r="P9" i="11"/>
  <c r="R20" i="11"/>
  <c r="Q14" i="11"/>
  <c r="P11" i="11"/>
  <c r="R18" i="11"/>
  <c r="U166" i="1"/>
  <c r="U167" i="1"/>
  <c r="U168" i="1"/>
  <c r="R46" i="9"/>
  <c r="Q15" i="13"/>
  <c r="P12" i="13"/>
  <c r="R21" i="13"/>
  <c r="Q12" i="13"/>
  <c r="Q14" i="13"/>
  <c r="P11" i="13"/>
  <c r="R20" i="13"/>
  <c r="Q74" i="7"/>
  <c r="P13" i="13"/>
  <c r="R22" i="13"/>
  <c r="Q16" i="13"/>
  <c r="P9" i="13"/>
  <c r="T161" i="1"/>
  <c r="R19" i="13"/>
  <c r="P10" i="13"/>
  <c r="Q13" i="13"/>
  <c r="R18" i="13"/>
  <c r="S154" i="1"/>
  <c r="T163" i="1"/>
  <c r="R49" i="9"/>
  <c r="Q119" i="2"/>
  <c r="Q72" i="7"/>
  <c r="Q73" i="7"/>
  <c r="T162" i="1"/>
  <c r="Q117" i="2"/>
  <c r="Q118" i="2"/>
  <c r="R47" i="9"/>
  <c r="R48" i="9"/>
  <c r="T160" i="1"/>
  <c r="Q41" i="9"/>
  <c r="P40" i="9"/>
  <c r="Q43" i="9"/>
  <c r="O111" i="2"/>
  <c r="P114" i="2"/>
  <c r="O110" i="2"/>
  <c r="P113" i="2"/>
  <c r="P66" i="7"/>
  <c r="P67" i="7"/>
  <c r="Q44" i="9"/>
  <c r="P41" i="9"/>
  <c r="O66" i="7"/>
  <c r="P69" i="7"/>
  <c r="Q40" i="9"/>
  <c r="Q42" i="9"/>
  <c r="O109" i="2"/>
  <c r="P112" i="2"/>
  <c r="O63" i="7"/>
  <c r="P68" i="7"/>
  <c r="P111" i="2"/>
  <c r="S153" i="1"/>
  <c r="S152" i="1"/>
  <c r="AA10" i="11"/>
  <c r="Z11" i="11"/>
  <c r="P39" i="9"/>
  <c r="P38" i="9"/>
  <c r="O65" i="7"/>
  <c r="O64" i="7"/>
  <c r="S151" i="1"/>
  <c r="AA8" i="11"/>
  <c r="AA9" i="11"/>
  <c r="P37" i="9"/>
  <c r="O108" i="2"/>
  <c r="AK6" i="13"/>
  <c r="AH6" i="13"/>
  <c r="AI6" i="13"/>
  <c r="AF6" i="13"/>
  <c r="AC6" i="13"/>
  <c r="Z6" i="13"/>
  <c r="AA6" i="13" s="1"/>
  <c r="N6" i="13"/>
  <c r="O6" i="13" s="1"/>
  <c r="P8" i="13" s="1"/>
  <c r="F6" i="13"/>
  <c r="AL6" i="13"/>
  <c r="AM6" i="13"/>
  <c r="AN6" i="13"/>
  <c r="AO6" i="13"/>
  <c r="AP6" i="13"/>
  <c r="AQ6" i="13"/>
  <c r="AR6" i="13"/>
  <c r="AR5" i="13"/>
  <c r="AQ5" i="13"/>
  <c r="AP5" i="13"/>
  <c r="AO5" i="13"/>
  <c r="AN5" i="13"/>
  <c r="AM5" i="13"/>
  <c r="AL5" i="13"/>
  <c r="AF5" i="13"/>
  <c r="AH5" i="13"/>
  <c r="AI5" i="13"/>
  <c r="AK5" i="13"/>
  <c r="AC5" i="13"/>
  <c r="Z5" i="13"/>
  <c r="AA5" i="13" s="1"/>
  <c r="N5" i="13"/>
  <c r="O5" i="13" s="1"/>
  <c r="F5" i="13"/>
  <c r="AL6" i="11"/>
  <c r="AM6" i="11"/>
  <c r="AN6" i="11"/>
  <c r="AO6" i="11"/>
  <c r="AP6" i="11"/>
  <c r="AQ6" i="11"/>
  <c r="AR6" i="11"/>
  <c r="AK6" i="11"/>
  <c r="AI6" i="11"/>
  <c r="AH6" i="11"/>
  <c r="AF6" i="11"/>
  <c r="AC6" i="11"/>
  <c r="AA6" i="11"/>
  <c r="N6" i="11"/>
  <c r="O6" i="11" s="1"/>
  <c r="F6" i="11"/>
  <c r="AR5" i="11"/>
  <c r="AQ5" i="11"/>
  <c r="AP5" i="11"/>
  <c r="AO5" i="11"/>
  <c r="AN5" i="11"/>
  <c r="AM5" i="11"/>
  <c r="AL5" i="11"/>
  <c r="AK5" i="11"/>
  <c r="AI5" i="11"/>
  <c r="AI4" i="11"/>
  <c r="AH5" i="11"/>
  <c r="AF5" i="11"/>
  <c r="AC5" i="11"/>
  <c r="Z5" i="11"/>
  <c r="AA5" i="11" s="1"/>
  <c r="N5" i="11"/>
  <c r="O5" i="11" s="1"/>
  <c r="F5" i="11"/>
  <c r="F4" i="11"/>
  <c r="AK34" i="9"/>
  <c r="AH34" i="9"/>
  <c r="AF34" i="9"/>
  <c r="AC34" i="9"/>
  <c r="AI34" i="9"/>
  <c r="AR34" i="9"/>
  <c r="AQ34" i="9"/>
  <c r="AP34" i="9"/>
  <c r="AO34" i="9"/>
  <c r="AN34" i="9"/>
  <c r="AM34" i="9"/>
  <c r="AL34" i="9"/>
  <c r="N34" i="9"/>
  <c r="O34" i="9" s="1"/>
  <c r="P36" i="9" s="1"/>
  <c r="F34" i="9"/>
  <c r="AK33" i="9"/>
  <c r="AH33" i="9"/>
  <c r="AF33" i="9"/>
  <c r="AC33" i="9"/>
  <c r="AI33" i="9"/>
  <c r="AR33" i="9"/>
  <c r="AQ33" i="9"/>
  <c r="AP33" i="9"/>
  <c r="AO33" i="9"/>
  <c r="AN33" i="9"/>
  <c r="AM33" i="9"/>
  <c r="AL33" i="9"/>
  <c r="N33" i="9"/>
  <c r="O33" i="9" s="1"/>
  <c r="R44" i="9" s="1"/>
  <c r="F33" i="9"/>
  <c r="P7" i="11" l="1"/>
  <c r="R16" i="13"/>
  <c r="R17" i="13"/>
  <c r="P7" i="13"/>
  <c r="Q11" i="11"/>
  <c r="P8" i="11"/>
  <c r="R17" i="11"/>
  <c r="R16" i="11"/>
  <c r="R45" i="9"/>
  <c r="Q39" i="9"/>
  <c r="AA11" i="11"/>
  <c r="Z12" i="11"/>
  <c r="Z13" i="11" s="1"/>
  <c r="P35" i="9"/>
  <c r="Q38" i="9"/>
  <c r="AR60" i="7"/>
  <c r="AH60" i="7"/>
  <c r="AF60" i="7"/>
  <c r="AC60" i="7"/>
  <c r="AD60" i="7"/>
  <c r="AI60" i="7"/>
  <c r="AJ60" i="7"/>
  <c r="AK60" i="7" s="1"/>
  <c r="AQ60" i="7"/>
  <c r="AP60" i="7"/>
  <c r="AO60" i="7"/>
  <c r="AN60" i="7"/>
  <c r="AM60" i="7"/>
  <c r="AL60" i="7"/>
  <c r="M60" i="7"/>
  <c r="N60" i="7" s="1"/>
  <c r="E60" i="7"/>
  <c r="AH59" i="7"/>
  <c r="AF5" i="7"/>
  <c r="AF4" i="7"/>
  <c r="AC59" i="7"/>
  <c r="AD59" i="7"/>
  <c r="AI59" i="7"/>
  <c r="AJ59" i="7"/>
  <c r="AK59" i="7" s="1"/>
  <c r="AR59" i="7"/>
  <c r="AQ59" i="7"/>
  <c r="AP59" i="7"/>
  <c r="AO59" i="7"/>
  <c r="AN59" i="7"/>
  <c r="AM59" i="7"/>
  <c r="AL59" i="7"/>
  <c r="M59" i="7"/>
  <c r="N59" i="7" s="1"/>
  <c r="E59" i="7"/>
  <c r="AQ105" i="2"/>
  <c r="AI105" i="2"/>
  <c r="AF105" i="2"/>
  <c r="AC105" i="2"/>
  <c r="AG105" i="2"/>
  <c r="AP105" i="2"/>
  <c r="AO105" i="2"/>
  <c r="AN105" i="2"/>
  <c r="AM105" i="2"/>
  <c r="AL105" i="2"/>
  <c r="AK105" i="2"/>
  <c r="M105" i="2"/>
  <c r="N105" i="2" s="1"/>
  <c r="Q116" i="2" s="1"/>
  <c r="E105" i="2"/>
  <c r="AI104" i="2"/>
  <c r="AF104" i="2"/>
  <c r="AC104" i="2"/>
  <c r="AG104" i="2"/>
  <c r="AQ104" i="2"/>
  <c r="AP104" i="2"/>
  <c r="AO104" i="2"/>
  <c r="AN104" i="2"/>
  <c r="AM104" i="2"/>
  <c r="AL104" i="2"/>
  <c r="AK104" i="2"/>
  <c r="M104" i="2"/>
  <c r="N104" i="2" s="1"/>
  <c r="E104" i="2"/>
  <c r="AM148" i="1"/>
  <c r="AG148" i="1"/>
  <c r="AH148" i="1"/>
  <c r="AK148" i="1"/>
  <c r="AT148" i="1"/>
  <c r="AS148" i="1"/>
  <c r="AR148" i="1"/>
  <c r="AQ148" i="1"/>
  <c r="AP148" i="1"/>
  <c r="AO148" i="1"/>
  <c r="Q148" i="1"/>
  <c r="R148" i="1" s="1"/>
  <c r="G148" i="1"/>
  <c r="Q70" i="7" l="1"/>
  <c r="Q115" i="2"/>
  <c r="P65" i="7"/>
  <c r="Q71" i="7"/>
  <c r="S150" i="1"/>
  <c r="U165" i="1"/>
  <c r="T159" i="1"/>
  <c r="AA12" i="11"/>
  <c r="O107" i="2"/>
  <c r="P110" i="2"/>
  <c r="O106" i="2"/>
  <c r="P109" i="2"/>
  <c r="O61" i="7"/>
  <c r="P64" i="7"/>
  <c r="O62" i="7"/>
  <c r="AM147" i="1"/>
  <c r="AG147" i="1"/>
  <c r="AH147" i="1"/>
  <c r="AK147" i="1"/>
  <c r="AT147" i="1"/>
  <c r="AS147" i="1"/>
  <c r="AR147" i="1"/>
  <c r="AQ147" i="1"/>
  <c r="AP147" i="1"/>
  <c r="AO147" i="1"/>
  <c r="Q147" i="1"/>
  <c r="R147" i="1" s="1"/>
  <c r="H147" i="1"/>
  <c r="G147" i="1"/>
  <c r="S149" i="1" l="1"/>
  <c r="T158" i="1"/>
  <c r="U164" i="1"/>
  <c r="AA13" i="11"/>
  <c r="Z14" i="11"/>
  <c r="I59" i="7"/>
  <c r="AA14" i="11" l="1"/>
  <c r="Z15" i="11"/>
  <c r="AD58" i="7"/>
  <c r="AD57" i="7"/>
  <c r="AD56" i="7"/>
  <c r="AD55" i="7"/>
  <c r="AD54" i="7"/>
  <c r="AD53" i="7"/>
  <c r="AD52" i="7"/>
  <c r="AD51" i="7"/>
  <c r="AD50" i="7"/>
  <c r="AD49" i="7"/>
  <c r="AD48" i="7"/>
  <c r="AD47" i="7"/>
  <c r="AD46" i="7"/>
  <c r="AD45" i="7"/>
  <c r="AD44" i="7"/>
  <c r="AD43" i="7"/>
  <c r="AD42" i="7"/>
  <c r="AD41" i="7"/>
  <c r="AD40" i="7"/>
  <c r="AD39" i="7"/>
  <c r="AD38" i="7"/>
  <c r="AD37" i="7"/>
  <c r="AD36" i="7"/>
  <c r="AD35" i="7"/>
  <c r="AD34" i="7"/>
  <c r="AD33" i="7"/>
  <c r="AD32" i="7"/>
  <c r="AD31" i="7"/>
  <c r="AD30" i="7"/>
  <c r="AD29" i="7"/>
  <c r="AD28" i="7"/>
  <c r="AD27" i="7"/>
  <c r="AD26" i="7"/>
  <c r="AD25" i="7"/>
  <c r="AD24" i="7"/>
  <c r="AD23" i="7"/>
  <c r="AD22" i="7"/>
  <c r="AD21" i="7"/>
  <c r="AD20" i="7"/>
  <c r="AD19" i="7"/>
  <c r="AD18" i="7"/>
  <c r="AD17" i="7"/>
  <c r="AD16" i="7"/>
  <c r="AD15" i="7"/>
  <c r="AD14" i="7"/>
  <c r="AD13" i="7"/>
  <c r="AD12" i="7"/>
  <c r="AD11" i="7"/>
  <c r="AD10" i="7"/>
  <c r="AD9" i="7"/>
  <c r="AD8" i="7"/>
  <c r="AD7" i="7"/>
  <c r="AD6" i="7"/>
  <c r="AD5" i="7"/>
  <c r="AD4" i="7"/>
  <c r="AA15" i="11" l="1"/>
  <c r="Z16" i="11"/>
  <c r="AH146" i="1"/>
  <c r="AH145" i="1"/>
  <c r="AH144" i="1"/>
  <c r="AH143" i="1"/>
  <c r="AH142" i="1"/>
  <c r="AH141" i="1"/>
  <c r="AH140" i="1"/>
  <c r="AH139" i="1"/>
  <c r="AH138" i="1"/>
  <c r="AH137" i="1"/>
  <c r="AH136" i="1"/>
  <c r="AH135" i="1"/>
  <c r="AH134" i="1"/>
  <c r="AH133" i="1"/>
  <c r="AH132" i="1"/>
  <c r="AH131" i="1"/>
  <c r="AH130" i="1"/>
  <c r="AH129" i="1"/>
  <c r="AH128" i="1"/>
  <c r="AH127" i="1"/>
  <c r="AH126" i="1"/>
  <c r="AH125" i="1"/>
  <c r="AH124" i="1"/>
  <c r="AH123" i="1"/>
  <c r="AH122" i="1"/>
  <c r="AH121" i="1"/>
  <c r="AH120" i="1"/>
  <c r="AH119" i="1"/>
  <c r="AH118" i="1"/>
  <c r="AH117" i="1"/>
  <c r="AH116" i="1"/>
  <c r="AH115" i="1"/>
  <c r="AH114" i="1"/>
  <c r="AH113" i="1"/>
  <c r="AH112" i="1"/>
  <c r="AH111" i="1"/>
  <c r="AH110" i="1"/>
  <c r="AH109" i="1"/>
  <c r="AH108" i="1"/>
  <c r="AH107" i="1"/>
  <c r="AH106" i="1"/>
  <c r="AH105" i="1"/>
  <c r="AH104" i="1"/>
  <c r="AH103" i="1"/>
  <c r="AH102" i="1"/>
  <c r="AH101" i="1"/>
  <c r="AH100" i="1"/>
  <c r="AH99" i="1"/>
  <c r="AH98" i="1"/>
  <c r="AH97" i="1"/>
  <c r="AH96" i="1"/>
  <c r="AH95" i="1"/>
  <c r="AH94" i="1"/>
  <c r="AH93" i="1"/>
  <c r="AH92" i="1"/>
  <c r="AH91" i="1"/>
  <c r="AH90" i="1"/>
  <c r="AH89" i="1"/>
  <c r="AH88" i="1"/>
  <c r="AH87" i="1"/>
  <c r="AH86" i="1"/>
  <c r="AH85" i="1"/>
  <c r="AH84" i="1"/>
  <c r="AH83" i="1"/>
  <c r="AH82" i="1"/>
  <c r="AH81" i="1"/>
  <c r="AH80" i="1"/>
  <c r="AH79" i="1"/>
  <c r="AH78" i="1"/>
  <c r="AH77" i="1"/>
  <c r="AH76" i="1"/>
  <c r="AH75" i="1"/>
  <c r="AH74" i="1"/>
  <c r="AH73" i="1"/>
  <c r="AH72" i="1"/>
  <c r="AH71" i="1"/>
  <c r="AH70" i="1"/>
  <c r="AH69" i="1"/>
  <c r="AH68" i="1"/>
  <c r="AH67" i="1"/>
  <c r="AH66" i="1"/>
  <c r="AH65" i="1"/>
  <c r="AH64" i="1"/>
  <c r="AH63" i="1"/>
  <c r="AH62" i="1"/>
  <c r="AH61" i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40" i="1"/>
  <c r="AH39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H7" i="1"/>
  <c r="AH6" i="1"/>
  <c r="AH5" i="1"/>
  <c r="AH4" i="1"/>
  <c r="AD2" i="2"/>
  <c r="AD134" i="2" l="1"/>
  <c r="AD143" i="2"/>
  <c r="AD142" i="2"/>
  <c r="AD141" i="2"/>
  <c r="AD140" i="2"/>
  <c r="AD139" i="2"/>
  <c r="AD138" i="2"/>
  <c r="AD137" i="2"/>
  <c r="AD136" i="2"/>
  <c r="AD135" i="2"/>
  <c r="AD133" i="2"/>
  <c r="AD132" i="2"/>
  <c r="AD131" i="2"/>
  <c r="AD130" i="2"/>
  <c r="AD129" i="2"/>
  <c r="AD128" i="2"/>
  <c r="AD126" i="2"/>
  <c r="AD127" i="2"/>
  <c r="AD125" i="2"/>
  <c r="AD124" i="2"/>
  <c r="AD123" i="2"/>
  <c r="AD122" i="2"/>
  <c r="AD121" i="2"/>
  <c r="AD120" i="2"/>
  <c r="AD119" i="2"/>
  <c r="AD117" i="2"/>
  <c r="AD118" i="2"/>
  <c r="AD116" i="2"/>
  <c r="AD115" i="2"/>
  <c r="AD114" i="2"/>
  <c r="AD113" i="2"/>
  <c r="AD112" i="2"/>
  <c r="AA16" i="11"/>
  <c r="Z17" i="11"/>
  <c r="AD109" i="2"/>
  <c r="AD111" i="2"/>
  <c r="AD110" i="2"/>
  <c r="AD106" i="2"/>
  <c r="AD107" i="2"/>
  <c r="AD108" i="2"/>
  <c r="AD102" i="2"/>
  <c r="AD104" i="2"/>
  <c r="AD105" i="2"/>
  <c r="AD24" i="2"/>
  <c r="AD18" i="2"/>
  <c r="AD34" i="2"/>
  <c r="AD50" i="2"/>
  <c r="AD66" i="2"/>
  <c r="AD98" i="2"/>
  <c r="AD7" i="2"/>
  <c r="AD23" i="2"/>
  <c r="AD39" i="2"/>
  <c r="AD55" i="2"/>
  <c r="AD71" i="2"/>
  <c r="AD103" i="2"/>
  <c r="AD8" i="2"/>
  <c r="AD40" i="2"/>
  <c r="AD56" i="2"/>
  <c r="AD72" i="2"/>
  <c r="AD88" i="2"/>
  <c r="AD9" i="2"/>
  <c r="AD25" i="2"/>
  <c r="AD41" i="2"/>
  <c r="AD57" i="2"/>
  <c r="AD73" i="2"/>
  <c r="AD89" i="2"/>
  <c r="AD10" i="2"/>
  <c r="AD26" i="2"/>
  <c r="AD42" i="2"/>
  <c r="AD58" i="2"/>
  <c r="AD74" i="2"/>
  <c r="AD90" i="2"/>
  <c r="AD15" i="2"/>
  <c r="AD31" i="2"/>
  <c r="AD47" i="2"/>
  <c r="AD63" i="2"/>
  <c r="AD79" i="2"/>
  <c r="AD95" i="2"/>
  <c r="AD16" i="2"/>
  <c r="AD32" i="2"/>
  <c r="AD48" i="2"/>
  <c r="AD64" i="2"/>
  <c r="AD80" i="2"/>
  <c r="AD96" i="2"/>
  <c r="AD17" i="2"/>
  <c r="AD33" i="2"/>
  <c r="AD49" i="2"/>
  <c r="AD65" i="2"/>
  <c r="AD81" i="2"/>
  <c r="AD97" i="2"/>
  <c r="AD82" i="2"/>
  <c r="AD87" i="2"/>
  <c r="AD11" i="2"/>
  <c r="AD19" i="2"/>
  <c r="AD27" i="2"/>
  <c r="AD35" i="2"/>
  <c r="AD43" i="2"/>
  <c r="AD51" i="2"/>
  <c r="AD59" i="2"/>
  <c r="AD67" i="2"/>
  <c r="AD75" i="2"/>
  <c r="AD83" i="2"/>
  <c r="AD91" i="2"/>
  <c r="AD99" i="2"/>
  <c r="AD4" i="2"/>
  <c r="AD12" i="2"/>
  <c r="AD20" i="2"/>
  <c r="AD28" i="2"/>
  <c r="AD36" i="2"/>
  <c r="AD44" i="2"/>
  <c r="AD52" i="2"/>
  <c r="AD60" i="2"/>
  <c r="AD68" i="2"/>
  <c r="AD76" i="2"/>
  <c r="AD84" i="2"/>
  <c r="AD92" i="2"/>
  <c r="AD100" i="2"/>
  <c r="AD5" i="2"/>
  <c r="AD13" i="2"/>
  <c r="AD21" i="2"/>
  <c r="AD29" i="2"/>
  <c r="AD37" i="2"/>
  <c r="AD45" i="2"/>
  <c r="AD53" i="2"/>
  <c r="AD61" i="2"/>
  <c r="AD69" i="2"/>
  <c r="AD77" i="2"/>
  <c r="AD85" i="2"/>
  <c r="AD93" i="2"/>
  <c r="AD101" i="2"/>
  <c r="AD6" i="2"/>
  <c r="AD14" i="2"/>
  <c r="AD22" i="2"/>
  <c r="AD30" i="2"/>
  <c r="AD38" i="2"/>
  <c r="AD46" i="2"/>
  <c r="AD54" i="2"/>
  <c r="AD62" i="2"/>
  <c r="AD70" i="2"/>
  <c r="AD78" i="2"/>
  <c r="AD86" i="2"/>
  <c r="AD9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AA17" i="11" l="1"/>
  <c r="Z18" i="11"/>
  <c r="AD2" i="13"/>
  <c r="AD44" i="13" l="1"/>
  <c r="AD43" i="13"/>
  <c r="AD42" i="13"/>
  <c r="AD41" i="13"/>
  <c r="AD40" i="13"/>
  <c r="AD35" i="11"/>
  <c r="AD44" i="11"/>
  <c r="AD43" i="11"/>
  <c r="AD42" i="11"/>
  <c r="AD41" i="11"/>
  <c r="AD40" i="11"/>
  <c r="AD39" i="11"/>
  <c r="AD38" i="11"/>
  <c r="AD37" i="11"/>
  <c r="AD36" i="11"/>
  <c r="AD35" i="13"/>
  <c r="AD39" i="13"/>
  <c r="AD38" i="13"/>
  <c r="AD37" i="13"/>
  <c r="AD36" i="13"/>
  <c r="AD34" i="11"/>
  <c r="AD33" i="11"/>
  <c r="AD32" i="11"/>
  <c r="AD31" i="11"/>
  <c r="AD34" i="13"/>
  <c r="AD33" i="13"/>
  <c r="AD32" i="13"/>
  <c r="AD31" i="13"/>
  <c r="AD30" i="13"/>
  <c r="AD29" i="13"/>
  <c r="AD25" i="13"/>
  <c r="AD28" i="13"/>
  <c r="AD27" i="13"/>
  <c r="AD26" i="13"/>
  <c r="AD24" i="13"/>
  <c r="AD22" i="13"/>
  <c r="AD23" i="13"/>
  <c r="AD21" i="13"/>
  <c r="AD20" i="13"/>
  <c r="AD19" i="13"/>
  <c r="AD18" i="13"/>
  <c r="AD17" i="13"/>
  <c r="AD16" i="13"/>
  <c r="AD15" i="13"/>
  <c r="AD14" i="13"/>
  <c r="AD13" i="13"/>
  <c r="AD30" i="11"/>
  <c r="AD29" i="11"/>
  <c r="AD28" i="11"/>
  <c r="AD27" i="11"/>
  <c r="AD26" i="11"/>
  <c r="AD25" i="11"/>
  <c r="AD23" i="11"/>
  <c r="AD24" i="11"/>
  <c r="AD21" i="11"/>
  <c r="AD22" i="11"/>
  <c r="AD20" i="11"/>
  <c r="AD19" i="11"/>
  <c r="AD18" i="11"/>
  <c r="AD17" i="11"/>
  <c r="AD16" i="11"/>
  <c r="AD15" i="11"/>
  <c r="AD14" i="11"/>
  <c r="AD13" i="11"/>
  <c r="AA18" i="11"/>
  <c r="Z19" i="11"/>
  <c r="AD10" i="11"/>
  <c r="AD12" i="11"/>
  <c r="AD11" i="11"/>
  <c r="AD10" i="13"/>
  <c r="AD12" i="13"/>
  <c r="AD11" i="13"/>
  <c r="AD5" i="13"/>
  <c r="AD8" i="13"/>
  <c r="AD9" i="13"/>
  <c r="AD7" i="13"/>
  <c r="AD6" i="13"/>
  <c r="AD4" i="11"/>
  <c r="AD9" i="11"/>
  <c r="AD8" i="11"/>
  <c r="AD7" i="11"/>
  <c r="AD6" i="11"/>
  <c r="AD5" i="11"/>
  <c r="AD4" i="13"/>
  <c r="AD2" i="9"/>
  <c r="AD63" i="9" l="1"/>
  <c r="AD71" i="9"/>
  <c r="AD70" i="9"/>
  <c r="AD69" i="9"/>
  <c r="AD68" i="9"/>
  <c r="AD67" i="9"/>
  <c r="AD66" i="9"/>
  <c r="AD65" i="9"/>
  <c r="AD64" i="9"/>
  <c r="AD62" i="9"/>
  <c r="AD61" i="9"/>
  <c r="AD60" i="9"/>
  <c r="AD59" i="9"/>
  <c r="AD58" i="9"/>
  <c r="AD57" i="9"/>
  <c r="AD56" i="9"/>
  <c r="AD55" i="9"/>
  <c r="AD54" i="9"/>
  <c r="AD53" i="9"/>
  <c r="AD52" i="9"/>
  <c r="AD51" i="9"/>
  <c r="AD50" i="9"/>
  <c r="AD49" i="9"/>
  <c r="AD48" i="9"/>
  <c r="AD47" i="9"/>
  <c r="AD46" i="9"/>
  <c r="AD45" i="9"/>
  <c r="AD44" i="9"/>
  <c r="AD43" i="9"/>
  <c r="AD42" i="9"/>
  <c r="AD41" i="9"/>
  <c r="AA19" i="11"/>
  <c r="Z20" i="11"/>
  <c r="AD38" i="9"/>
  <c r="AD40" i="9"/>
  <c r="AD39" i="9"/>
  <c r="AD5" i="9"/>
  <c r="AD37" i="9"/>
  <c r="AD35" i="9"/>
  <c r="AD36" i="9"/>
  <c r="AD34" i="9"/>
  <c r="AD33" i="9"/>
  <c r="AD24" i="9"/>
  <c r="AD12" i="9"/>
  <c r="AD28" i="9"/>
  <c r="AD8" i="9"/>
  <c r="AD20" i="9"/>
  <c r="AD32" i="9"/>
  <c r="AD16" i="9"/>
  <c r="AD31" i="9"/>
  <c r="AD27" i="9"/>
  <c r="AD23" i="9"/>
  <c r="AD19" i="9"/>
  <c r="AD15" i="9"/>
  <c r="AD11" i="9"/>
  <c r="AD7" i="9"/>
  <c r="AD30" i="9"/>
  <c r="AD26" i="9"/>
  <c r="AD22" i="9"/>
  <c r="AD18" i="9"/>
  <c r="AD14" i="9"/>
  <c r="AD10" i="9"/>
  <c r="AD6" i="9"/>
  <c r="AD4" i="9"/>
  <c r="AD29" i="9"/>
  <c r="AD25" i="9"/>
  <c r="AD21" i="9"/>
  <c r="AD17" i="9"/>
  <c r="AD13" i="9"/>
  <c r="AD9" i="9"/>
  <c r="AA20" i="11" l="1"/>
  <c r="Z21" i="11"/>
  <c r="AA21" i="11" l="1"/>
  <c r="Z22" i="11"/>
  <c r="F6" i="9"/>
  <c r="N6" i="9"/>
  <c r="O6" i="9" s="1"/>
  <c r="AC6" i="9"/>
  <c r="AF6" i="9"/>
  <c r="AH6" i="9"/>
  <c r="AI6" i="9"/>
  <c r="AK6" i="9"/>
  <c r="AL6" i="9"/>
  <c r="AM6" i="9"/>
  <c r="AN6" i="9"/>
  <c r="AO6" i="9"/>
  <c r="AP6" i="9"/>
  <c r="AQ6" i="9"/>
  <c r="AR6" i="9"/>
  <c r="F7" i="9"/>
  <c r="N7" i="9"/>
  <c r="O7" i="9" s="1"/>
  <c r="AC7" i="9"/>
  <c r="AF7" i="9"/>
  <c r="AH7" i="9"/>
  <c r="AI7" i="9"/>
  <c r="AK7" i="9"/>
  <c r="AL7" i="9"/>
  <c r="AM7" i="9"/>
  <c r="AN7" i="9"/>
  <c r="AO7" i="9"/>
  <c r="AP7" i="9"/>
  <c r="AQ7" i="9"/>
  <c r="AR7" i="9"/>
  <c r="F8" i="9"/>
  <c r="N8" i="9"/>
  <c r="O8" i="9" s="1"/>
  <c r="AC8" i="9"/>
  <c r="AF8" i="9"/>
  <c r="AH8" i="9"/>
  <c r="AI8" i="9"/>
  <c r="AK8" i="9"/>
  <c r="AL8" i="9"/>
  <c r="AM8" i="9"/>
  <c r="AN8" i="9"/>
  <c r="AO8" i="9"/>
  <c r="AP8" i="9"/>
  <c r="AQ8" i="9"/>
  <c r="AR8" i="9"/>
  <c r="F9" i="9"/>
  <c r="N9" i="9"/>
  <c r="O9" i="9" s="1"/>
  <c r="AC9" i="9"/>
  <c r="AF9" i="9"/>
  <c r="AH9" i="9"/>
  <c r="AI9" i="9"/>
  <c r="AK9" i="9"/>
  <c r="AL9" i="9"/>
  <c r="AM9" i="9"/>
  <c r="AN9" i="9"/>
  <c r="AO9" i="9"/>
  <c r="AP9" i="9"/>
  <c r="AQ9" i="9"/>
  <c r="AR9" i="9"/>
  <c r="F10" i="9"/>
  <c r="N10" i="9"/>
  <c r="O10" i="9" s="1"/>
  <c r="AC10" i="9"/>
  <c r="AF10" i="9"/>
  <c r="AH10" i="9"/>
  <c r="AI10" i="9"/>
  <c r="AK10" i="9"/>
  <c r="AL10" i="9"/>
  <c r="AM10" i="9"/>
  <c r="AN10" i="9"/>
  <c r="AO10" i="9"/>
  <c r="AP10" i="9"/>
  <c r="AQ10" i="9"/>
  <c r="AR10" i="9"/>
  <c r="B11" i="9"/>
  <c r="B12" i="9" s="1"/>
  <c r="B13" i="9" s="1"/>
  <c r="F11" i="9"/>
  <c r="N11" i="9"/>
  <c r="O11" i="9" s="1"/>
  <c r="AC11" i="9"/>
  <c r="AF11" i="9"/>
  <c r="AH11" i="9"/>
  <c r="AI11" i="9"/>
  <c r="AK11" i="9"/>
  <c r="AL11" i="9"/>
  <c r="AM11" i="9"/>
  <c r="AN11" i="9"/>
  <c r="AO11" i="9"/>
  <c r="AP11" i="9"/>
  <c r="AQ11" i="9"/>
  <c r="AR11" i="9"/>
  <c r="F12" i="9"/>
  <c r="N12" i="9"/>
  <c r="O12" i="9" s="1"/>
  <c r="AC12" i="9"/>
  <c r="AF12" i="9"/>
  <c r="AH12" i="9"/>
  <c r="AI12" i="9"/>
  <c r="AK12" i="9"/>
  <c r="AL12" i="9"/>
  <c r="AM12" i="9"/>
  <c r="AN12" i="9"/>
  <c r="AO12" i="9"/>
  <c r="AP12" i="9"/>
  <c r="AQ12" i="9"/>
  <c r="AR12" i="9"/>
  <c r="F13" i="9"/>
  <c r="N13" i="9"/>
  <c r="O13" i="9" s="1"/>
  <c r="AC13" i="9"/>
  <c r="AF13" i="9"/>
  <c r="AH13" i="9"/>
  <c r="AI13" i="9"/>
  <c r="AK13" i="9"/>
  <c r="AL13" i="9"/>
  <c r="AM13" i="9"/>
  <c r="AN13" i="9"/>
  <c r="AO13" i="9"/>
  <c r="AP13" i="9"/>
  <c r="AQ13" i="9"/>
  <c r="AR13" i="9"/>
  <c r="F14" i="9"/>
  <c r="N14" i="9"/>
  <c r="O14" i="9" s="1"/>
  <c r="AC14" i="9"/>
  <c r="AF14" i="9"/>
  <c r="AH14" i="9"/>
  <c r="AI14" i="9"/>
  <c r="AK14" i="9"/>
  <c r="AL14" i="9"/>
  <c r="AM14" i="9"/>
  <c r="AN14" i="9"/>
  <c r="AO14" i="9"/>
  <c r="AP14" i="9"/>
  <c r="AQ14" i="9"/>
  <c r="AR14" i="9"/>
  <c r="F15" i="9"/>
  <c r="N15" i="9"/>
  <c r="O15" i="9" s="1"/>
  <c r="AC15" i="9"/>
  <c r="AF15" i="9"/>
  <c r="AH15" i="9"/>
  <c r="AI15" i="9"/>
  <c r="AK15" i="9"/>
  <c r="AL15" i="9"/>
  <c r="AM15" i="9"/>
  <c r="AN15" i="9"/>
  <c r="AO15" i="9"/>
  <c r="AP15" i="9"/>
  <c r="AQ15" i="9"/>
  <c r="AR15" i="9"/>
  <c r="F16" i="9"/>
  <c r="N16" i="9"/>
  <c r="O16" i="9" s="1"/>
  <c r="AC16" i="9"/>
  <c r="AF16" i="9"/>
  <c r="AH16" i="9"/>
  <c r="AI16" i="9"/>
  <c r="AK16" i="9"/>
  <c r="AL16" i="9"/>
  <c r="AM16" i="9"/>
  <c r="AN16" i="9"/>
  <c r="AO16" i="9"/>
  <c r="AP16" i="9"/>
  <c r="AQ16" i="9"/>
  <c r="AR16" i="9"/>
  <c r="F17" i="9"/>
  <c r="N17" i="9"/>
  <c r="O17" i="9" s="1"/>
  <c r="AC17" i="9"/>
  <c r="AF17" i="9"/>
  <c r="AH17" i="9"/>
  <c r="AI17" i="9"/>
  <c r="AK17" i="9"/>
  <c r="AL17" i="9"/>
  <c r="AM17" i="9"/>
  <c r="AN17" i="9"/>
  <c r="AO17" i="9"/>
  <c r="AP17" i="9"/>
  <c r="AQ17" i="9"/>
  <c r="AR17" i="9"/>
  <c r="F18" i="9"/>
  <c r="N18" i="9"/>
  <c r="O18" i="9" s="1"/>
  <c r="AC18" i="9"/>
  <c r="AF18" i="9"/>
  <c r="AH18" i="9"/>
  <c r="AI18" i="9"/>
  <c r="AK18" i="9"/>
  <c r="AL18" i="9"/>
  <c r="AM18" i="9"/>
  <c r="AN18" i="9"/>
  <c r="AO18" i="9"/>
  <c r="AP18" i="9"/>
  <c r="AQ18" i="9"/>
  <c r="AR18" i="9"/>
  <c r="F19" i="9"/>
  <c r="N19" i="9"/>
  <c r="O19" i="9" s="1"/>
  <c r="AC19" i="9"/>
  <c r="AF19" i="9"/>
  <c r="AH19" i="9"/>
  <c r="AI19" i="9"/>
  <c r="AK19" i="9"/>
  <c r="AL19" i="9"/>
  <c r="AM19" i="9"/>
  <c r="AN19" i="9"/>
  <c r="AO19" i="9"/>
  <c r="AP19" i="9"/>
  <c r="AQ19" i="9"/>
  <c r="AR19" i="9"/>
  <c r="F20" i="9"/>
  <c r="N20" i="9"/>
  <c r="O20" i="9" s="1"/>
  <c r="Z20" i="9"/>
  <c r="Z19" i="9" s="1"/>
  <c r="AC20" i="9"/>
  <c r="AF20" i="9"/>
  <c r="AH20" i="9"/>
  <c r="AI20" i="9"/>
  <c r="AK20" i="9"/>
  <c r="AL20" i="9"/>
  <c r="AM20" i="9"/>
  <c r="AN20" i="9"/>
  <c r="AO20" i="9"/>
  <c r="AP20" i="9"/>
  <c r="AQ20" i="9"/>
  <c r="AR20" i="9"/>
  <c r="F21" i="9"/>
  <c r="N21" i="9"/>
  <c r="O21" i="9" s="1"/>
  <c r="AA21" i="9"/>
  <c r="AC21" i="9"/>
  <c r="AF21" i="9"/>
  <c r="AH21" i="9"/>
  <c r="AI21" i="9"/>
  <c r="AK21" i="9"/>
  <c r="AL21" i="9"/>
  <c r="AM21" i="9"/>
  <c r="AN21" i="9"/>
  <c r="AO21" i="9"/>
  <c r="AP21" i="9"/>
  <c r="AQ21" i="9"/>
  <c r="AR21" i="9"/>
  <c r="F22" i="9"/>
  <c r="N22" i="9"/>
  <c r="O22" i="9" s="1"/>
  <c r="AA22" i="9"/>
  <c r="AC22" i="9"/>
  <c r="AF22" i="9"/>
  <c r="AH22" i="9"/>
  <c r="AI22" i="9"/>
  <c r="AK22" i="9"/>
  <c r="AL22" i="9"/>
  <c r="AM22" i="9"/>
  <c r="AN22" i="9"/>
  <c r="AO22" i="9"/>
  <c r="AP22" i="9"/>
  <c r="AQ22" i="9"/>
  <c r="AR22" i="9"/>
  <c r="F23" i="9"/>
  <c r="N23" i="9"/>
  <c r="O23" i="9" s="1"/>
  <c r="AA23" i="9"/>
  <c r="AC23" i="9"/>
  <c r="AF23" i="9"/>
  <c r="AH23" i="9"/>
  <c r="AI23" i="9"/>
  <c r="AK23" i="9"/>
  <c r="AL23" i="9"/>
  <c r="AM23" i="9"/>
  <c r="AN23" i="9"/>
  <c r="AO23" i="9"/>
  <c r="AP23" i="9"/>
  <c r="AQ23" i="9"/>
  <c r="AR23" i="9"/>
  <c r="F24" i="9"/>
  <c r="N24" i="9"/>
  <c r="O24" i="9" s="1"/>
  <c r="Z24" i="9"/>
  <c r="Z25" i="9" s="1"/>
  <c r="AC24" i="9"/>
  <c r="AF24" i="9"/>
  <c r="AH24" i="9"/>
  <c r="AI24" i="9"/>
  <c r="AK24" i="9"/>
  <c r="AL24" i="9"/>
  <c r="AM24" i="9"/>
  <c r="AN24" i="9"/>
  <c r="AO24" i="9"/>
  <c r="AP24" i="9"/>
  <c r="AQ24" i="9"/>
  <c r="AR24" i="9"/>
  <c r="F25" i="9"/>
  <c r="N25" i="9"/>
  <c r="O25" i="9" s="1"/>
  <c r="AC25" i="9"/>
  <c r="AF25" i="9"/>
  <c r="AH25" i="9"/>
  <c r="AI25" i="9"/>
  <c r="AK25" i="9"/>
  <c r="AL25" i="9"/>
  <c r="AM25" i="9"/>
  <c r="AN25" i="9"/>
  <c r="AO25" i="9"/>
  <c r="AP25" i="9"/>
  <c r="AQ25" i="9"/>
  <c r="AR25" i="9"/>
  <c r="F26" i="9"/>
  <c r="N26" i="9"/>
  <c r="O26" i="9" s="1"/>
  <c r="AC26" i="9"/>
  <c r="AF26" i="9"/>
  <c r="AH26" i="9"/>
  <c r="AI26" i="9"/>
  <c r="AK26" i="9"/>
  <c r="AL26" i="9"/>
  <c r="AM26" i="9"/>
  <c r="AN26" i="9"/>
  <c r="AO26" i="9"/>
  <c r="AP26" i="9"/>
  <c r="AQ26" i="9"/>
  <c r="AR26" i="9"/>
  <c r="F27" i="9"/>
  <c r="N27" i="9"/>
  <c r="O27" i="9" s="1"/>
  <c r="AC27" i="9"/>
  <c r="AF27" i="9"/>
  <c r="AH27" i="9"/>
  <c r="AI27" i="9"/>
  <c r="AK27" i="9"/>
  <c r="AL27" i="9"/>
  <c r="AM27" i="9"/>
  <c r="AN27" i="9"/>
  <c r="AO27" i="9"/>
  <c r="AP27" i="9"/>
  <c r="AQ27" i="9"/>
  <c r="AR27" i="9"/>
  <c r="F28" i="9"/>
  <c r="N28" i="9"/>
  <c r="O28" i="9" s="1"/>
  <c r="AC28" i="9"/>
  <c r="AF28" i="9"/>
  <c r="AH28" i="9"/>
  <c r="AI28" i="9"/>
  <c r="AK28" i="9"/>
  <c r="AL28" i="9"/>
  <c r="AM28" i="9"/>
  <c r="AN28" i="9"/>
  <c r="AO28" i="9"/>
  <c r="AP28" i="9"/>
  <c r="AQ28" i="9"/>
  <c r="AR28" i="9"/>
  <c r="F29" i="9"/>
  <c r="N29" i="9"/>
  <c r="O29" i="9" s="1"/>
  <c r="AC29" i="9"/>
  <c r="AF29" i="9"/>
  <c r="AH29" i="9"/>
  <c r="AI29" i="9"/>
  <c r="AK29" i="9"/>
  <c r="AL29" i="9"/>
  <c r="AM29" i="9"/>
  <c r="AN29" i="9"/>
  <c r="AO29" i="9"/>
  <c r="AP29" i="9"/>
  <c r="AQ29" i="9"/>
  <c r="AR29" i="9"/>
  <c r="F30" i="9"/>
  <c r="N30" i="9"/>
  <c r="O30" i="9" s="1"/>
  <c r="AC30" i="9"/>
  <c r="AF30" i="9"/>
  <c r="AH30" i="9"/>
  <c r="AI30" i="9"/>
  <c r="AK30" i="9"/>
  <c r="AL30" i="9"/>
  <c r="AM30" i="9"/>
  <c r="AN30" i="9"/>
  <c r="AO30" i="9"/>
  <c r="AP30" i="9"/>
  <c r="AQ30" i="9"/>
  <c r="AR30" i="9"/>
  <c r="F31" i="9"/>
  <c r="N31" i="9"/>
  <c r="O31" i="9" s="1"/>
  <c r="AC31" i="9"/>
  <c r="AF31" i="9"/>
  <c r="AH31" i="9"/>
  <c r="AI31" i="9"/>
  <c r="AK31" i="9"/>
  <c r="AL31" i="9"/>
  <c r="AM31" i="9"/>
  <c r="AN31" i="9"/>
  <c r="AO31" i="9"/>
  <c r="AP31" i="9"/>
  <c r="AQ31" i="9"/>
  <c r="AR31" i="9"/>
  <c r="F32" i="9"/>
  <c r="N32" i="9"/>
  <c r="O32" i="9" s="1"/>
  <c r="R43" i="9" s="1"/>
  <c r="AC32" i="9"/>
  <c r="AF32" i="9"/>
  <c r="AH32" i="9"/>
  <c r="AI32" i="9"/>
  <c r="AK32" i="9"/>
  <c r="AL32" i="9"/>
  <c r="AM32" i="9"/>
  <c r="AN32" i="9"/>
  <c r="AO32" i="9"/>
  <c r="AP32" i="9"/>
  <c r="AQ32" i="9"/>
  <c r="AR32" i="9"/>
  <c r="AK4" i="13"/>
  <c r="AI4" i="13"/>
  <c r="AH4" i="13"/>
  <c r="AF4" i="13"/>
  <c r="AC4" i="13"/>
  <c r="F4" i="13"/>
  <c r="AK4" i="11"/>
  <c r="AH4" i="11"/>
  <c r="AF4" i="11"/>
  <c r="AC4" i="11"/>
  <c r="AA22" i="11" l="1"/>
  <c r="Z23" i="11"/>
  <c r="R40" i="9"/>
  <c r="R42" i="9"/>
  <c r="R41" i="9"/>
  <c r="R39" i="9"/>
  <c r="R38" i="9"/>
  <c r="P34" i="9"/>
  <c r="Q37" i="9"/>
  <c r="Q34" i="9"/>
  <c r="R37" i="9"/>
  <c r="R34" i="9"/>
  <c r="R36" i="9"/>
  <c r="Q35" i="9"/>
  <c r="Q36" i="9"/>
  <c r="P33" i="9"/>
  <c r="Q33" i="9"/>
  <c r="R35" i="9"/>
  <c r="R33" i="9"/>
  <c r="P25" i="9"/>
  <c r="AA20" i="9"/>
  <c r="P32" i="9"/>
  <c r="P31" i="9"/>
  <c r="P14" i="9"/>
  <c r="P30" i="9"/>
  <c r="P29" i="9"/>
  <c r="Q31" i="9"/>
  <c r="P26" i="9"/>
  <c r="P28" i="9"/>
  <c r="P27" i="9"/>
  <c r="P23" i="9"/>
  <c r="Z26" i="9"/>
  <c r="AA25" i="9"/>
  <c r="Q24" i="9"/>
  <c r="P19" i="9"/>
  <c r="Q21" i="9"/>
  <c r="R18" i="9"/>
  <c r="Q32" i="9"/>
  <c r="Q30" i="9"/>
  <c r="P20" i="9"/>
  <c r="P13" i="9"/>
  <c r="AA24" i="9"/>
  <c r="Q15" i="9"/>
  <c r="R20" i="9"/>
  <c r="R21" i="9"/>
  <c r="Q29" i="9"/>
  <c r="Q28" i="9"/>
  <c r="R19" i="9"/>
  <c r="P18" i="9"/>
  <c r="B14" i="9"/>
  <c r="Q11" i="9"/>
  <c r="P8" i="9"/>
  <c r="Z18" i="9"/>
  <c r="AA19" i="9"/>
  <c r="Q25" i="9"/>
  <c r="R17" i="9"/>
  <c r="R24" i="9"/>
  <c r="P15" i="9"/>
  <c r="Q18" i="9"/>
  <c r="R23" i="9"/>
  <c r="Q16" i="9"/>
  <c r="Q17" i="9"/>
  <c r="R22" i="9"/>
  <c r="P9" i="9"/>
  <c r="Q12" i="9"/>
  <c r="Q27" i="9"/>
  <c r="P22" i="9"/>
  <c r="Q23" i="9"/>
  <c r="R27" i="9"/>
  <c r="R28" i="9"/>
  <c r="R29" i="9"/>
  <c r="R30" i="9"/>
  <c r="R31" i="9"/>
  <c r="R32" i="9"/>
  <c r="P24" i="9"/>
  <c r="R26" i="9"/>
  <c r="P17" i="9"/>
  <c r="Q19" i="9"/>
  <c r="Q20" i="9"/>
  <c r="Q14" i="9"/>
  <c r="P11" i="9"/>
  <c r="R25" i="9"/>
  <c r="P10" i="9"/>
  <c r="Q13" i="9"/>
  <c r="P12" i="9"/>
  <c r="Q22" i="9"/>
  <c r="P21" i="9"/>
  <c r="P16" i="9"/>
  <c r="Q26" i="9"/>
  <c r="AD109" i="1"/>
  <c r="AD110" i="1" s="1"/>
  <c r="AD111" i="1" s="1"/>
  <c r="AD112" i="1" s="1"/>
  <c r="AD113" i="1" s="1"/>
  <c r="AD114" i="1" s="1"/>
  <c r="AD115" i="1" s="1"/>
  <c r="AD116" i="1" s="1"/>
  <c r="AD117" i="1" s="1"/>
  <c r="AD118" i="1" s="1"/>
  <c r="AD119" i="1" s="1"/>
  <c r="AD120" i="1" s="1"/>
  <c r="AD121" i="1" s="1"/>
  <c r="AD122" i="1" s="1"/>
  <c r="AD123" i="1" s="1"/>
  <c r="AD124" i="1" s="1"/>
  <c r="AD125" i="1" s="1"/>
  <c r="AD126" i="1" s="1"/>
  <c r="AD127" i="1" s="1"/>
  <c r="AA23" i="11" l="1"/>
  <c r="Z24" i="11"/>
  <c r="Z27" i="9"/>
  <c r="AA26" i="9"/>
  <c r="Z17" i="9"/>
  <c r="AA18" i="9"/>
  <c r="B15" i="9"/>
  <c r="M58" i="7"/>
  <c r="N58" i="7" s="1"/>
  <c r="Q69" i="7" s="1"/>
  <c r="E58" i="7"/>
  <c r="AQ58" i="7"/>
  <c r="AQ57" i="7"/>
  <c r="AR58" i="7"/>
  <c r="AP58" i="7"/>
  <c r="AO58" i="7"/>
  <c r="AN58" i="7"/>
  <c r="AM58" i="7"/>
  <c r="AL58" i="7"/>
  <c r="AJ58" i="7"/>
  <c r="AK58" i="7" s="1"/>
  <c r="AI58" i="7"/>
  <c r="AC58" i="7"/>
  <c r="AC57" i="7"/>
  <c r="AI57" i="7"/>
  <c r="AJ57" i="7"/>
  <c r="AK57" i="7" s="1"/>
  <c r="AR57" i="7"/>
  <c r="AP57" i="7"/>
  <c r="AO57" i="7"/>
  <c r="AN57" i="7"/>
  <c r="AM57" i="7"/>
  <c r="AL57" i="7"/>
  <c r="M57" i="7"/>
  <c r="N57" i="7" s="1"/>
  <c r="E57" i="7"/>
  <c r="AC56" i="7"/>
  <c r="AI56" i="7"/>
  <c r="AJ56" i="7"/>
  <c r="AK56" i="7" s="1"/>
  <c r="AR56" i="7"/>
  <c r="AQ56" i="7"/>
  <c r="AP56" i="7"/>
  <c r="AO56" i="7"/>
  <c r="AN56" i="7"/>
  <c r="AM56" i="7"/>
  <c r="AL56" i="7"/>
  <c r="M56" i="7"/>
  <c r="N56" i="7" s="1"/>
  <c r="E56" i="7"/>
  <c r="P61" i="7" l="1"/>
  <c r="Q67" i="7"/>
  <c r="P62" i="7"/>
  <c r="Q68" i="7"/>
  <c r="AA24" i="11"/>
  <c r="Z25" i="11"/>
  <c r="P63" i="7"/>
  <c r="O60" i="7"/>
  <c r="O59" i="7"/>
  <c r="AA27" i="9"/>
  <c r="Z28" i="9"/>
  <c r="Z16" i="9"/>
  <c r="AA17" i="9"/>
  <c r="B16" i="9"/>
  <c r="O58" i="7"/>
  <c r="AA25" i="11" l="1"/>
  <c r="Z26" i="11"/>
  <c r="Z29" i="9"/>
  <c r="AA28" i="9"/>
  <c r="Z15" i="9"/>
  <c r="AA16" i="9"/>
  <c r="B17" i="9"/>
  <c r="AA26" i="11" l="1"/>
  <c r="Z27" i="11"/>
  <c r="Z30" i="9"/>
  <c r="AA29" i="9"/>
  <c r="Z14" i="9"/>
  <c r="AA15" i="9"/>
  <c r="B18" i="9"/>
  <c r="AQ103" i="2"/>
  <c r="AP103" i="2"/>
  <c r="AO103" i="2"/>
  <c r="AN103" i="2"/>
  <c r="AM103" i="2"/>
  <c r="AL103" i="2"/>
  <c r="AK103" i="2"/>
  <c r="AI103" i="2"/>
  <c r="AG103" i="2"/>
  <c r="AQ102" i="2"/>
  <c r="AP102" i="2"/>
  <c r="AO102" i="2"/>
  <c r="AN102" i="2"/>
  <c r="AM102" i="2"/>
  <c r="AL102" i="2"/>
  <c r="AK102" i="2"/>
  <c r="AI102" i="2"/>
  <c r="AG102" i="2"/>
  <c r="AQ101" i="2"/>
  <c r="AP101" i="2"/>
  <c r="AO101" i="2"/>
  <c r="AN101" i="2"/>
  <c r="AM101" i="2"/>
  <c r="AL101" i="2"/>
  <c r="AK101" i="2"/>
  <c r="AI101" i="2"/>
  <c r="AG101" i="2"/>
  <c r="AF103" i="2"/>
  <c r="AF102" i="2"/>
  <c r="AF101" i="2"/>
  <c r="AC103" i="2"/>
  <c r="AC102" i="2"/>
  <c r="AC101" i="2"/>
  <c r="N103" i="2"/>
  <c r="Q114" i="2" s="1"/>
  <c r="N102" i="2"/>
  <c r="Q113" i="2" s="1"/>
  <c r="N101" i="2"/>
  <c r="E103" i="2"/>
  <c r="E102" i="2"/>
  <c r="E101" i="2"/>
  <c r="Q112" i="2" l="1"/>
  <c r="AA27" i="11"/>
  <c r="Z28" i="11"/>
  <c r="P106" i="2"/>
  <c r="O104" i="2"/>
  <c r="P107" i="2"/>
  <c r="O105" i="2"/>
  <c r="P108" i="2"/>
  <c r="Z31" i="9"/>
  <c r="AA30" i="9"/>
  <c r="B19" i="9"/>
  <c r="Z13" i="9"/>
  <c r="AA14" i="9"/>
  <c r="O103" i="2"/>
  <c r="AA28" i="11" l="1"/>
  <c r="Z29" i="11"/>
  <c r="Z30" i="11" s="1"/>
  <c r="Z31" i="11" s="1"/>
  <c r="AA31" i="9"/>
  <c r="Z32" i="9"/>
  <c r="Z33" i="9" s="1"/>
  <c r="Z12" i="9"/>
  <c r="AA13" i="9"/>
  <c r="B20" i="9"/>
  <c r="H146" i="1"/>
  <c r="Q144" i="1"/>
  <c r="R144" i="1" s="1"/>
  <c r="H144" i="1"/>
  <c r="AA31" i="11" l="1"/>
  <c r="Z32" i="11"/>
  <c r="AA29" i="11"/>
  <c r="AA30" i="11"/>
  <c r="Z34" i="9"/>
  <c r="AA33" i="9"/>
  <c r="AA32" i="9"/>
  <c r="B21" i="9"/>
  <c r="Z11" i="9"/>
  <c r="AA12" i="9"/>
  <c r="Q145" i="1"/>
  <c r="R145" i="1" s="1"/>
  <c r="H145" i="1"/>
  <c r="AA32" i="11" l="1"/>
  <c r="Z33" i="11"/>
  <c r="Z35" i="9"/>
  <c r="AA34" i="9"/>
  <c r="AA11" i="9"/>
  <c r="B22" i="9"/>
  <c r="AT146" i="1"/>
  <c r="AS146" i="1"/>
  <c r="AR146" i="1"/>
  <c r="AQ146" i="1"/>
  <c r="AP146" i="1"/>
  <c r="AT145" i="1"/>
  <c r="AS145" i="1"/>
  <c r="AR145" i="1"/>
  <c r="AQ145" i="1"/>
  <c r="AP145" i="1"/>
  <c r="AT144" i="1"/>
  <c r="AS144" i="1"/>
  <c r="AR144" i="1"/>
  <c r="AQ144" i="1"/>
  <c r="AP144" i="1"/>
  <c r="AO146" i="1"/>
  <c r="AO145" i="1"/>
  <c r="AO144" i="1"/>
  <c r="AM146" i="1"/>
  <c r="AM145" i="1"/>
  <c r="AM144" i="1"/>
  <c r="AK146" i="1"/>
  <c r="AK145" i="1"/>
  <c r="AK144" i="1"/>
  <c r="AG146" i="1"/>
  <c r="AG145" i="1"/>
  <c r="AG144" i="1"/>
  <c r="G146" i="1"/>
  <c r="G145" i="1"/>
  <c r="G144" i="1"/>
  <c r="Q146" i="1"/>
  <c r="R146" i="1" s="1"/>
  <c r="T156" i="1" s="1"/>
  <c r="AA33" i="11" l="1"/>
  <c r="Z34" i="11"/>
  <c r="T155" i="1"/>
  <c r="S148" i="1"/>
  <c r="U163" i="1"/>
  <c r="T157" i="1"/>
  <c r="U162" i="1"/>
  <c r="U161" i="1"/>
  <c r="AA35" i="9"/>
  <c r="Z36" i="9"/>
  <c r="S147" i="1"/>
  <c r="B23" i="9"/>
  <c r="S146" i="1"/>
  <c r="AA34" i="11" l="1"/>
  <c r="Z35" i="11"/>
  <c r="AA36" i="9"/>
  <c r="Z37" i="9"/>
  <c r="B24" i="9"/>
  <c r="AR55" i="7"/>
  <c r="AQ55" i="7"/>
  <c r="AP55" i="7"/>
  <c r="AO55" i="7"/>
  <c r="AN55" i="7"/>
  <c r="AM55" i="7"/>
  <c r="AL55" i="7"/>
  <c r="AJ55" i="7"/>
  <c r="AK55" i="7" s="1"/>
  <c r="AI55" i="7"/>
  <c r="AJ54" i="7"/>
  <c r="AK54" i="7" s="1"/>
  <c r="AI54" i="7"/>
  <c r="AC55" i="7"/>
  <c r="AC54" i="7"/>
  <c r="AR54" i="7"/>
  <c r="AQ54" i="7"/>
  <c r="AP54" i="7"/>
  <c r="AO54" i="7"/>
  <c r="AN54" i="7"/>
  <c r="AM54" i="7"/>
  <c r="AL54" i="7"/>
  <c r="AC53" i="7"/>
  <c r="AI53" i="7"/>
  <c r="AJ53" i="7"/>
  <c r="AK53" i="7" s="1"/>
  <c r="AR53" i="7"/>
  <c r="AQ53" i="7"/>
  <c r="AP53" i="7"/>
  <c r="AO53" i="7"/>
  <c r="AN53" i="7"/>
  <c r="AM53" i="7"/>
  <c r="AL53" i="7"/>
  <c r="M55" i="7"/>
  <c r="N55" i="7" s="1"/>
  <c r="Q66" i="7" s="1"/>
  <c r="E55" i="7"/>
  <c r="M54" i="7"/>
  <c r="N54" i="7" s="1"/>
  <c r="E54" i="7"/>
  <c r="M53" i="7"/>
  <c r="N53" i="7" s="1"/>
  <c r="E53" i="7"/>
  <c r="AQ100" i="2"/>
  <c r="AP100" i="2"/>
  <c r="AO100" i="2"/>
  <c r="AN100" i="2"/>
  <c r="AM100" i="2"/>
  <c r="AL100" i="2"/>
  <c r="AK100" i="2"/>
  <c r="AI100" i="2"/>
  <c r="AG100" i="2"/>
  <c r="AF100" i="2"/>
  <c r="AC100" i="2"/>
  <c r="N100" i="2"/>
  <c r="E100" i="2"/>
  <c r="Q65" i="7" l="1"/>
  <c r="AA35" i="11"/>
  <c r="Z36" i="11"/>
  <c r="P105" i="2"/>
  <c r="Q111" i="2"/>
  <c r="Q64" i="7"/>
  <c r="AA37" i="9"/>
  <c r="Z38" i="9"/>
  <c r="O57" i="7"/>
  <c r="P60" i="7"/>
  <c r="P59" i="7"/>
  <c r="B25" i="9"/>
  <c r="O56" i="7"/>
  <c r="P58" i="7"/>
  <c r="O102" i="2"/>
  <c r="O55" i="7"/>
  <c r="AG143" i="1"/>
  <c r="AK143" i="1"/>
  <c r="AT143" i="1"/>
  <c r="AS143" i="1"/>
  <c r="AR143" i="1"/>
  <c r="AQ143" i="1"/>
  <c r="AP143" i="1"/>
  <c r="AO143" i="1"/>
  <c r="Q143" i="1"/>
  <c r="R143" i="1" s="1"/>
  <c r="AM143" i="1"/>
  <c r="H143" i="1"/>
  <c r="H142" i="1"/>
  <c r="H141" i="1"/>
  <c r="H140" i="1"/>
  <c r="G143" i="1"/>
  <c r="AG142" i="1"/>
  <c r="AK142" i="1"/>
  <c r="AD142" i="1"/>
  <c r="AT142" i="1"/>
  <c r="AS142" i="1"/>
  <c r="AR142" i="1"/>
  <c r="AQ142" i="1"/>
  <c r="AP142" i="1"/>
  <c r="AO142" i="1"/>
  <c r="AM142" i="1"/>
  <c r="Q142" i="1"/>
  <c r="R142" i="1" s="1"/>
  <c r="G142" i="1"/>
  <c r="AG141" i="1"/>
  <c r="AK141" i="1"/>
  <c r="AE141" i="1"/>
  <c r="AT141" i="1"/>
  <c r="AS141" i="1"/>
  <c r="AR141" i="1"/>
  <c r="AQ141" i="1"/>
  <c r="AP141" i="1"/>
  <c r="AO141" i="1"/>
  <c r="Q141" i="1"/>
  <c r="R141" i="1" s="1"/>
  <c r="AM141" i="1"/>
  <c r="G141" i="1"/>
  <c r="AG140" i="1"/>
  <c r="AK140" i="1"/>
  <c r="AM140" i="1"/>
  <c r="AE140" i="1"/>
  <c r="AT140" i="1"/>
  <c r="AS140" i="1"/>
  <c r="AR140" i="1"/>
  <c r="AQ140" i="1"/>
  <c r="AP140" i="1"/>
  <c r="AO140" i="1"/>
  <c r="Q140" i="1"/>
  <c r="R140" i="1" s="1"/>
  <c r="G140" i="1"/>
  <c r="AA36" i="11" l="1"/>
  <c r="Z37" i="11"/>
  <c r="U159" i="1"/>
  <c r="U158" i="1"/>
  <c r="T151" i="1"/>
  <c r="U157" i="1"/>
  <c r="T154" i="1"/>
  <c r="U160" i="1"/>
  <c r="AA38" i="9"/>
  <c r="Z39" i="9"/>
  <c r="T153" i="1"/>
  <c r="T152" i="1"/>
  <c r="AD143" i="1"/>
  <c r="AE142" i="1"/>
  <c r="B26" i="9"/>
  <c r="S144" i="1"/>
  <c r="S145" i="1"/>
  <c r="S143" i="1"/>
  <c r="S142" i="1"/>
  <c r="AA37" i="11" l="1"/>
  <c r="Z38" i="11"/>
  <c r="AA39" i="9"/>
  <c r="Z40" i="9"/>
  <c r="AD144" i="1"/>
  <c r="AE143" i="1"/>
  <c r="B27" i="9"/>
  <c r="AQ99" i="2"/>
  <c r="AP99" i="2"/>
  <c r="AO99" i="2"/>
  <c r="AN99" i="2"/>
  <c r="AM99" i="2"/>
  <c r="AL99" i="2"/>
  <c r="AK99" i="2"/>
  <c r="AI99" i="2"/>
  <c r="AG99" i="2"/>
  <c r="AF99" i="2"/>
  <c r="AC99" i="2"/>
  <c r="AQ98" i="2"/>
  <c r="AP98" i="2"/>
  <c r="AO98" i="2"/>
  <c r="AN98" i="2"/>
  <c r="AM98" i="2"/>
  <c r="AL98" i="2"/>
  <c r="AK98" i="2"/>
  <c r="AI98" i="2"/>
  <c r="AG98" i="2"/>
  <c r="AF98" i="2"/>
  <c r="AC98" i="2"/>
  <c r="AQ97" i="2"/>
  <c r="AP97" i="2"/>
  <c r="AO97" i="2"/>
  <c r="AN97" i="2"/>
  <c r="AM97" i="2"/>
  <c r="AL97" i="2"/>
  <c r="AK97" i="2"/>
  <c r="AI97" i="2"/>
  <c r="AG97" i="2"/>
  <c r="AF97" i="2"/>
  <c r="AC97" i="2"/>
  <c r="N99" i="2"/>
  <c r="N98" i="2"/>
  <c r="N97" i="2"/>
  <c r="E99" i="2"/>
  <c r="E98" i="2"/>
  <c r="E97" i="2"/>
  <c r="AA38" i="11" l="1"/>
  <c r="Z39" i="11"/>
  <c r="AA40" i="9"/>
  <c r="Z41" i="9"/>
  <c r="Q109" i="2"/>
  <c r="P104" i="2"/>
  <c r="Q110" i="2"/>
  <c r="O99" i="2"/>
  <c r="Q108" i="2"/>
  <c r="AD145" i="1"/>
  <c r="AE144" i="1"/>
  <c r="B28" i="9"/>
  <c r="O101" i="2"/>
  <c r="P102" i="2"/>
  <c r="P103" i="2"/>
  <c r="O100" i="2"/>
  <c r="AA39" i="11" l="1"/>
  <c r="Z40" i="11"/>
  <c r="AA41" i="9"/>
  <c r="Z42" i="9"/>
  <c r="AD146" i="1"/>
  <c r="AD147" i="1" s="1"/>
  <c r="AE145" i="1"/>
  <c r="B29" i="9"/>
  <c r="AR52" i="7"/>
  <c r="AQ52" i="7"/>
  <c r="AP52" i="7"/>
  <c r="AO52" i="7"/>
  <c r="AN52" i="7"/>
  <c r="AM52" i="7"/>
  <c r="AL52" i="7"/>
  <c r="AJ52" i="7"/>
  <c r="AK52" i="7" s="1"/>
  <c r="AI52" i="7"/>
  <c r="AC52" i="7"/>
  <c r="M52" i="7"/>
  <c r="N52" i="7" s="1"/>
  <c r="E52" i="7"/>
  <c r="AA40" i="11" l="1"/>
  <c r="Z41" i="11"/>
  <c r="AA42" i="9"/>
  <c r="Z43" i="9"/>
  <c r="P57" i="7"/>
  <c r="Q63" i="7"/>
  <c r="AD148" i="1"/>
  <c r="AE147" i="1"/>
  <c r="AE146" i="1"/>
  <c r="B30" i="9"/>
  <c r="O54" i="7"/>
  <c r="AT139" i="1"/>
  <c r="AS139" i="1"/>
  <c r="AR139" i="1"/>
  <c r="AQ139" i="1"/>
  <c r="AP139" i="1"/>
  <c r="AO139" i="1"/>
  <c r="AM139" i="1"/>
  <c r="AK139" i="1"/>
  <c r="AG139" i="1"/>
  <c r="AT138" i="1"/>
  <c r="AS138" i="1"/>
  <c r="AR138" i="1"/>
  <c r="AQ138" i="1"/>
  <c r="AP138" i="1"/>
  <c r="AO138" i="1"/>
  <c r="AM138" i="1"/>
  <c r="AK138" i="1"/>
  <c r="AG138" i="1"/>
  <c r="AT137" i="1"/>
  <c r="AS137" i="1"/>
  <c r="AR137" i="1"/>
  <c r="AQ137" i="1"/>
  <c r="AP137" i="1"/>
  <c r="AO137" i="1"/>
  <c r="AM137" i="1"/>
  <c r="AK137" i="1"/>
  <c r="AG137" i="1"/>
  <c r="AE139" i="1"/>
  <c r="AE138" i="1"/>
  <c r="AE137" i="1"/>
  <c r="Q139" i="1"/>
  <c r="R139" i="1" s="1"/>
  <c r="Q137" i="1"/>
  <c r="R137" i="1" s="1"/>
  <c r="H139" i="1"/>
  <c r="H138" i="1"/>
  <c r="H137" i="1"/>
  <c r="G139" i="1"/>
  <c r="G138" i="1"/>
  <c r="G137" i="1"/>
  <c r="AR51" i="7"/>
  <c r="AQ51" i="7"/>
  <c r="AP51" i="7"/>
  <c r="AO51" i="7"/>
  <c r="AN51" i="7"/>
  <c r="AM51" i="7"/>
  <c r="AL51" i="7"/>
  <c r="AR50" i="7"/>
  <c r="AQ50" i="7"/>
  <c r="AP50" i="7"/>
  <c r="AO50" i="7"/>
  <c r="AN50" i="7"/>
  <c r="AM50" i="7"/>
  <c r="AL50" i="7"/>
  <c r="AC49" i="7"/>
  <c r="AI49" i="7"/>
  <c r="AJ49" i="7"/>
  <c r="AK49" i="7" s="1"/>
  <c r="AR49" i="7"/>
  <c r="AQ49" i="7"/>
  <c r="AP49" i="7"/>
  <c r="AO49" i="7"/>
  <c r="AN49" i="7"/>
  <c r="AM49" i="7"/>
  <c r="AL49" i="7"/>
  <c r="M49" i="7"/>
  <c r="N49" i="7" s="1"/>
  <c r="E49" i="7"/>
  <c r="N95" i="2"/>
  <c r="N94" i="2"/>
  <c r="AQ96" i="2"/>
  <c r="AP96" i="2"/>
  <c r="AO96" i="2"/>
  <c r="AN96" i="2"/>
  <c r="AM96" i="2"/>
  <c r="AL96" i="2"/>
  <c r="AK96" i="2"/>
  <c r="AI96" i="2"/>
  <c r="AG96" i="2"/>
  <c r="AF96" i="2"/>
  <c r="AC96" i="2"/>
  <c r="AQ95" i="2"/>
  <c r="AP95" i="2"/>
  <c r="AO95" i="2"/>
  <c r="AN95" i="2"/>
  <c r="AM95" i="2"/>
  <c r="AL95" i="2"/>
  <c r="AK95" i="2"/>
  <c r="AI95" i="2"/>
  <c r="AG95" i="2"/>
  <c r="AF95" i="2"/>
  <c r="AC95" i="2"/>
  <c r="AQ94" i="2"/>
  <c r="AP94" i="2"/>
  <c r="AO94" i="2"/>
  <c r="AN94" i="2"/>
  <c r="AM94" i="2"/>
  <c r="AL94" i="2"/>
  <c r="AK94" i="2"/>
  <c r="AI94" i="2"/>
  <c r="AG94" i="2"/>
  <c r="AF94" i="2"/>
  <c r="AC94" i="2"/>
  <c r="N96" i="2"/>
  <c r="Q107" i="2" s="1"/>
  <c r="E96" i="2"/>
  <c r="E95" i="2"/>
  <c r="E94" i="2"/>
  <c r="AJ51" i="7"/>
  <c r="AK51" i="7" s="1"/>
  <c r="AI51" i="7"/>
  <c r="AC51" i="7"/>
  <c r="M51" i="7"/>
  <c r="N51" i="7" s="1"/>
  <c r="Q62" i="7" s="1"/>
  <c r="E51" i="7"/>
  <c r="AJ50" i="7"/>
  <c r="AK50" i="7" s="1"/>
  <c r="AI50" i="7"/>
  <c r="AC50" i="7"/>
  <c r="M50" i="7"/>
  <c r="N50" i="7" s="1"/>
  <c r="E50" i="7"/>
  <c r="AA41" i="11" l="1"/>
  <c r="Z42" i="11"/>
  <c r="T150" i="1"/>
  <c r="U156" i="1"/>
  <c r="AA43" i="9"/>
  <c r="Z44" i="9"/>
  <c r="Q106" i="2"/>
  <c r="Q60" i="7"/>
  <c r="AE148" i="1"/>
  <c r="AD149" i="1"/>
  <c r="Q61" i="7"/>
  <c r="Q105" i="2"/>
  <c r="P55" i="7"/>
  <c r="Q138" i="1"/>
  <c r="R138" i="1" s="1"/>
  <c r="B31" i="9"/>
  <c r="P56" i="7"/>
  <c r="P54" i="7"/>
  <c r="O53" i="7"/>
  <c r="P101" i="2"/>
  <c r="P100" i="2"/>
  <c r="S141" i="1"/>
  <c r="O52" i="7"/>
  <c r="O98" i="2"/>
  <c r="O97" i="2"/>
  <c r="P99" i="2"/>
  <c r="O96" i="2"/>
  <c r="O51" i="7"/>
  <c r="AA42" i="11" l="1"/>
  <c r="Z43" i="11"/>
  <c r="U154" i="1"/>
  <c r="U155" i="1"/>
  <c r="AA44" i="9"/>
  <c r="Z45" i="9"/>
  <c r="AD150" i="1"/>
  <c r="AE149" i="1"/>
  <c r="S140" i="1"/>
  <c r="T149" i="1"/>
  <c r="T148" i="1"/>
  <c r="S139" i="1"/>
  <c r="B32" i="9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58" i="9" s="1"/>
  <c r="B59" i="9" s="1"/>
  <c r="B60" i="9" s="1"/>
  <c r="B61" i="9" s="1"/>
  <c r="B62" i="9" s="1"/>
  <c r="B63" i="9" s="1"/>
  <c r="B64" i="9" s="1"/>
  <c r="B65" i="9" s="1"/>
  <c r="B66" i="9" s="1"/>
  <c r="B67" i="9" s="1"/>
  <c r="B68" i="9" s="1"/>
  <c r="B69" i="9" s="1"/>
  <c r="B70" i="9" s="1"/>
  <c r="B71" i="9" s="1"/>
  <c r="AA43" i="11" l="1"/>
  <c r="Z44" i="11"/>
  <c r="AA45" i="9"/>
  <c r="Z46" i="9"/>
  <c r="AE150" i="1"/>
  <c r="AD151" i="1"/>
  <c r="AT136" i="1"/>
  <c r="AS136" i="1"/>
  <c r="AR136" i="1"/>
  <c r="AQ136" i="1"/>
  <c r="AP136" i="1"/>
  <c r="AO136" i="1"/>
  <c r="AT135" i="1"/>
  <c r="AS135" i="1"/>
  <c r="AR135" i="1"/>
  <c r="AQ135" i="1"/>
  <c r="AP135" i="1"/>
  <c r="AO135" i="1"/>
  <c r="AT134" i="1"/>
  <c r="AS134" i="1"/>
  <c r="AR134" i="1"/>
  <c r="AQ134" i="1"/>
  <c r="AP134" i="1"/>
  <c r="AO134" i="1"/>
  <c r="AT133" i="1"/>
  <c r="AS133" i="1"/>
  <c r="AR133" i="1"/>
  <c r="AQ133" i="1"/>
  <c r="AP133" i="1"/>
  <c r="AO133" i="1"/>
  <c r="AT132" i="1"/>
  <c r="AS132" i="1"/>
  <c r="AR132" i="1"/>
  <c r="AQ132" i="1"/>
  <c r="AP132" i="1"/>
  <c r="AO132" i="1"/>
  <c r="AT131" i="1"/>
  <c r="AS131" i="1"/>
  <c r="AR131" i="1"/>
  <c r="AQ131" i="1"/>
  <c r="AP131" i="1"/>
  <c r="AO131" i="1"/>
  <c r="AT130" i="1"/>
  <c r="AS130" i="1"/>
  <c r="AR130" i="1"/>
  <c r="AQ130" i="1"/>
  <c r="AP130" i="1"/>
  <c r="AO130" i="1"/>
  <c r="AT129" i="1"/>
  <c r="AS129" i="1"/>
  <c r="AR129" i="1"/>
  <c r="AQ129" i="1"/>
  <c r="AP129" i="1"/>
  <c r="AO129" i="1"/>
  <c r="AT128" i="1"/>
  <c r="AS128" i="1"/>
  <c r="AR128" i="1"/>
  <c r="AQ128" i="1"/>
  <c r="AP128" i="1"/>
  <c r="AO128" i="1"/>
  <c r="AT127" i="1"/>
  <c r="AS127" i="1"/>
  <c r="AR127" i="1"/>
  <c r="AQ127" i="1"/>
  <c r="AP127" i="1"/>
  <c r="AO127" i="1"/>
  <c r="AT126" i="1"/>
  <c r="AS126" i="1"/>
  <c r="AR126" i="1"/>
  <c r="AQ126" i="1"/>
  <c r="AP126" i="1"/>
  <c r="AO126" i="1"/>
  <c r="AT125" i="1"/>
  <c r="AS125" i="1"/>
  <c r="AR125" i="1"/>
  <c r="AQ125" i="1"/>
  <c r="AP125" i="1"/>
  <c r="AO125" i="1"/>
  <c r="AT124" i="1"/>
  <c r="AS124" i="1"/>
  <c r="AR124" i="1"/>
  <c r="AQ124" i="1"/>
  <c r="AP124" i="1"/>
  <c r="AO124" i="1"/>
  <c r="AT123" i="1"/>
  <c r="AS123" i="1"/>
  <c r="AR123" i="1"/>
  <c r="AQ123" i="1"/>
  <c r="AP123" i="1"/>
  <c r="AO123" i="1"/>
  <c r="AT122" i="1"/>
  <c r="AS122" i="1"/>
  <c r="AR122" i="1"/>
  <c r="AQ122" i="1"/>
  <c r="AP122" i="1"/>
  <c r="AO122" i="1"/>
  <c r="AT121" i="1"/>
  <c r="AS121" i="1"/>
  <c r="AR121" i="1"/>
  <c r="AQ121" i="1"/>
  <c r="AP121" i="1"/>
  <c r="AO121" i="1"/>
  <c r="AT120" i="1"/>
  <c r="AS120" i="1"/>
  <c r="AR120" i="1"/>
  <c r="AQ120" i="1"/>
  <c r="AP120" i="1"/>
  <c r="AO120" i="1"/>
  <c r="AT119" i="1"/>
  <c r="AS119" i="1"/>
  <c r="AR119" i="1"/>
  <c r="AQ119" i="1"/>
  <c r="AP119" i="1"/>
  <c r="AO119" i="1"/>
  <c r="AT118" i="1"/>
  <c r="AS118" i="1"/>
  <c r="AR118" i="1"/>
  <c r="AQ118" i="1"/>
  <c r="AP118" i="1"/>
  <c r="AO118" i="1"/>
  <c r="AT117" i="1"/>
  <c r="AS117" i="1"/>
  <c r="AR117" i="1"/>
  <c r="AQ117" i="1"/>
  <c r="AP117" i="1"/>
  <c r="AO117" i="1"/>
  <c r="AT116" i="1"/>
  <c r="AS116" i="1"/>
  <c r="AR116" i="1"/>
  <c r="AQ116" i="1"/>
  <c r="AP116" i="1"/>
  <c r="AO116" i="1"/>
  <c r="AT115" i="1"/>
  <c r="AS115" i="1"/>
  <c r="AR115" i="1"/>
  <c r="AQ115" i="1"/>
  <c r="AP115" i="1"/>
  <c r="AO115" i="1"/>
  <c r="AT114" i="1"/>
  <c r="AS114" i="1"/>
  <c r="AR114" i="1"/>
  <c r="AQ114" i="1"/>
  <c r="AP114" i="1"/>
  <c r="AO114" i="1"/>
  <c r="AT113" i="1"/>
  <c r="AS113" i="1"/>
  <c r="AR113" i="1"/>
  <c r="AQ113" i="1"/>
  <c r="AP113" i="1"/>
  <c r="AO113" i="1"/>
  <c r="AT112" i="1"/>
  <c r="AS112" i="1"/>
  <c r="AR112" i="1"/>
  <c r="AQ112" i="1"/>
  <c r="AP112" i="1"/>
  <c r="AO112" i="1"/>
  <c r="AT111" i="1"/>
  <c r="AS111" i="1"/>
  <c r="AR111" i="1"/>
  <c r="AQ111" i="1"/>
  <c r="AP111" i="1"/>
  <c r="AO111" i="1"/>
  <c r="AT110" i="1"/>
  <c r="AS110" i="1"/>
  <c r="AR110" i="1"/>
  <c r="AQ110" i="1"/>
  <c r="AP110" i="1"/>
  <c r="AO110" i="1"/>
  <c r="AT109" i="1"/>
  <c r="AS109" i="1"/>
  <c r="AR109" i="1"/>
  <c r="AQ109" i="1"/>
  <c r="AP109" i="1"/>
  <c r="AO109" i="1"/>
  <c r="AT108" i="1"/>
  <c r="AS108" i="1"/>
  <c r="AR108" i="1"/>
  <c r="AQ108" i="1"/>
  <c r="AP108" i="1"/>
  <c r="AO108" i="1"/>
  <c r="AM108" i="1"/>
  <c r="AT107" i="1"/>
  <c r="AS107" i="1"/>
  <c r="AR107" i="1"/>
  <c r="AQ107" i="1"/>
  <c r="AP107" i="1"/>
  <c r="AO107" i="1"/>
  <c r="AT106" i="1"/>
  <c r="AS106" i="1"/>
  <c r="AR106" i="1"/>
  <c r="AQ106" i="1"/>
  <c r="AP106" i="1"/>
  <c r="AO106" i="1"/>
  <c r="AT105" i="1"/>
  <c r="AS105" i="1"/>
  <c r="AR105" i="1"/>
  <c r="AQ105" i="1"/>
  <c r="AP105" i="1"/>
  <c r="AO105" i="1"/>
  <c r="AT104" i="1"/>
  <c r="AS104" i="1"/>
  <c r="AR104" i="1"/>
  <c r="AQ104" i="1"/>
  <c r="AP104" i="1"/>
  <c r="AO104" i="1"/>
  <c r="AT103" i="1"/>
  <c r="AS103" i="1"/>
  <c r="AR103" i="1"/>
  <c r="AQ103" i="1"/>
  <c r="AP103" i="1"/>
  <c r="AO103" i="1"/>
  <c r="AM107" i="1"/>
  <c r="AM106" i="1"/>
  <c r="AM105" i="1"/>
  <c r="AM104" i="1"/>
  <c r="AM103" i="1"/>
  <c r="AE134" i="1"/>
  <c r="AE133" i="1"/>
  <c r="AE132" i="1"/>
  <c r="AE131" i="1"/>
  <c r="AE130" i="1"/>
  <c r="AE129" i="1"/>
  <c r="AE126" i="1"/>
  <c r="AE125" i="1"/>
  <c r="AE124" i="1"/>
  <c r="AE123" i="1"/>
  <c r="AM136" i="1"/>
  <c r="AM135" i="1"/>
  <c r="AM134" i="1"/>
  <c r="AM133" i="1"/>
  <c r="AM132" i="1"/>
  <c r="AM131" i="1"/>
  <c r="AM130" i="1"/>
  <c r="AM129" i="1"/>
  <c r="AM128" i="1"/>
  <c r="AM127" i="1"/>
  <c r="AM126" i="1"/>
  <c r="AM125" i="1"/>
  <c r="AM124" i="1"/>
  <c r="AM123" i="1"/>
  <c r="AM122" i="1"/>
  <c r="AM121" i="1"/>
  <c r="AM120" i="1"/>
  <c r="AM119" i="1"/>
  <c r="AM118" i="1"/>
  <c r="AM117" i="1"/>
  <c r="AM116" i="1"/>
  <c r="AM115" i="1"/>
  <c r="AM114" i="1"/>
  <c r="AM113" i="1"/>
  <c r="AM112" i="1"/>
  <c r="AM111" i="1"/>
  <c r="AM110" i="1"/>
  <c r="AM109" i="1"/>
  <c r="AK107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7" i="1"/>
  <c r="AK106" i="1"/>
  <c r="AK105" i="1"/>
  <c r="AK104" i="1"/>
  <c r="Q103" i="1"/>
  <c r="R103" i="1" s="1"/>
  <c r="H104" i="1"/>
  <c r="Q104" i="1"/>
  <c r="R104" i="1" s="1"/>
  <c r="H105" i="1"/>
  <c r="Q105" i="1"/>
  <c r="R105" i="1" s="1"/>
  <c r="H106" i="1"/>
  <c r="Q106" i="1"/>
  <c r="R106" i="1" s="1"/>
  <c r="Q107" i="1"/>
  <c r="R107" i="1" s="1"/>
  <c r="AK103" i="1"/>
  <c r="AG107" i="1"/>
  <c r="AG106" i="1"/>
  <c r="AG105" i="1"/>
  <c r="AG104" i="1"/>
  <c r="AG103" i="1"/>
  <c r="AI92" i="2"/>
  <c r="AI91" i="2"/>
  <c r="AI90" i="2"/>
  <c r="AI89" i="2"/>
  <c r="AI88" i="2"/>
  <c r="AI87" i="2"/>
  <c r="AI85" i="2"/>
  <c r="AI84" i="2"/>
  <c r="AI83" i="2"/>
  <c r="AI82" i="2"/>
  <c r="AI81" i="2"/>
  <c r="AQ93" i="2"/>
  <c r="AP93" i="2"/>
  <c r="AO93" i="2"/>
  <c r="AN93" i="2"/>
  <c r="AM93" i="2"/>
  <c r="AL93" i="2"/>
  <c r="AK93" i="2"/>
  <c r="AI93" i="2"/>
  <c r="AG93" i="2"/>
  <c r="AF93" i="2"/>
  <c r="AC93" i="2"/>
  <c r="AQ92" i="2"/>
  <c r="AP92" i="2"/>
  <c r="AO92" i="2"/>
  <c r="AN92" i="2"/>
  <c r="AM92" i="2"/>
  <c r="AL92" i="2"/>
  <c r="AK92" i="2"/>
  <c r="AG92" i="2"/>
  <c r="AF92" i="2"/>
  <c r="AC92" i="2"/>
  <c r="AQ91" i="2"/>
  <c r="AP91" i="2"/>
  <c r="AO91" i="2"/>
  <c r="AN91" i="2"/>
  <c r="AM91" i="2"/>
  <c r="AL91" i="2"/>
  <c r="AK91" i="2"/>
  <c r="AG91" i="2"/>
  <c r="AF91" i="2"/>
  <c r="AC91" i="2"/>
  <c r="AQ90" i="2"/>
  <c r="AP90" i="2"/>
  <c r="AO90" i="2"/>
  <c r="AN90" i="2"/>
  <c r="AM90" i="2"/>
  <c r="AL90" i="2"/>
  <c r="AK90" i="2"/>
  <c r="AG90" i="2"/>
  <c r="AF90" i="2"/>
  <c r="AC90" i="2"/>
  <c r="AQ89" i="2"/>
  <c r="AP89" i="2"/>
  <c r="AO89" i="2"/>
  <c r="AN89" i="2"/>
  <c r="AM89" i="2"/>
  <c r="AL89" i="2"/>
  <c r="AK89" i="2"/>
  <c r="AG89" i="2"/>
  <c r="AF89" i="2"/>
  <c r="AC89" i="2"/>
  <c r="AQ88" i="2"/>
  <c r="AP88" i="2"/>
  <c r="AO88" i="2"/>
  <c r="AN88" i="2"/>
  <c r="AM88" i="2"/>
  <c r="AL88" i="2"/>
  <c r="AK88" i="2"/>
  <c r="AG88" i="2"/>
  <c r="AF88" i="2"/>
  <c r="AC88" i="2"/>
  <c r="AQ87" i="2"/>
  <c r="AP87" i="2"/>
  <c r="AO87" i="2"/>
  <c r="AN87" i="2"/>
  <c r="AM87" i="2"/>
  <c r="AL87" i="2"/>
  <c r="AK87" i="2"/>
  <c r="AG87" i="2"/>
  <c r="AF87" i="2"/>
  <c r="AC87" i="2"/>
  <c r="AQ86" i="2"/>
  <c r="AP86" i="2"/>
  <c r="AO86" i="2"/>
  <c r="AN86" i="2"/>
  <c r="AM86" i="2"/>
  <c r="AL86" i="2"/>
  <c r="AK86" i="2"/>
  <c r="AI86" i="2"/>
  <c r="AG86" i="2"/>
  <c r="AF86" i="2"/>
  <c r="AC86" i="2"/>
  <c r="AQ85" i="2"/>
  <c r="AP85" i="2"/>
  <c r="AO85" i="2"/>
  <c r="AN85" i="2"/>
  <c r="AM85" i="2"/>
  <c r="AL85" i="2"/>
  <c r="AK85" i="2"/>
  <c r="AG85" i="2"/>
  <c r="AF85" i="2"/>
  <c r="AC85" i="2"/>
  <c r="AQ84" i="2"/>
  <c r="AP84" i="2"/>
  <c r="AO84" i="2"/>
  <c r="AN84" i="2"/>
  <c r="AM84" i="2"/>
  <c r="AL84" i="2"/>
  <c r="AK84" i="2"/>
  <c r="AG84" i="2"/>
  <c r="AF84" i="2"/>
  <c r="AC84" i="2"/>
  <c r="AQ83" i="2"/>
  <c r="AP83" i="2"/>
  <c r="AO83" i="2"/>
  <c r="AN83" i="2"/>
  <c r="AM83" i="2"/>
  <c r="AL83" i="2"/>
  <c r="AK83" i="2"/>
  <c r="AG83" i="2"/>
  <c r="AF83" i="2"/>
  <c r="AC83" i="2"/>
  <c r="AQ82" i="2"/>
  <c r="AP82" i="2"/>
  <c r="AO82" i="2"/>
  <c r="AN82" i="2"/>
  <c r="AM82" i="2"/>
  <c r="AL82" i="2"/>
  <c r="AK82" i="2"/>
  <c r="AG82" i="2"/>
  <c r="AF82" i="2"/>
  <c r="AC82" i="2"/>
  <c r="AQ81" i="2"/>
  <c r="AP81" i="2"/>
  <c r="AO81" i="2"/>
  <c r="AN81" i="2"/>
  <c r="AM81" i="2"/>
  <c r="AL81" i="2"/>
  <c r="AK81" i="2"/>
  <c r="AG81" i="2"/>
  <c r="AF81" i="2"/>
  <c r="AC81" i="2"/>
  <c r="E93" i="2"/>
  <c r="E92" i="2"/>
  <c r="E91" i="2"/>
  <c r="E90" i="2"/>
  <c r="E89" i="2"/>
  <c r="E88" i="2"/>
  <c r="N86" i="2"/>
  <c r="N87" i="2"/>
  <c r="N88" i="2"/>
  <c r="N89" i="2"/>
  <c r="N90" i="2"/>
  <c r="N92" i="2"/>
  <c r="N91" i="2"/>
  <c r="N93" i="2"/>
  <c r="Q104" i="2" s="1"/>
  <c r="E87" i="2"/>
  <c r="AR48" i="7"/>
  <c r="AQ48" i="7"/>
  <c r="AP48" i="7"/>
  <c r="AO48" i="7"/>
  <c r="AN48" i="7"/>
  <c r="AM48" i="7"/>
  <c r="AL48" i="7"/>
  <c r="AJ48" i="7"/>
  <c r="AK48" i="7" s="1"/>
  <c r="AI48" i="7"/>
  <c r="AC48" i="7"/>
  <c r="AR47" i="7"/>
  <c r="AQ47" i="7"/>
  <c r="AP47" i="7"/>
  <c r="AO47" i="7"/>
  <c r="AN47" i="7"/>
  <c r="AM47" i="7"/>
  <c r="AL47" i="7"/>
  <c r="AJ47" i="7"/>
  <c r="AK47" i="7" s="1"/>
  <c r="AI47" i="7"/>
  <c r="AC47" i="7"/>
  <c r="AR46" i="7"/>
  <c r="AQ46" i="7"/>
  <c r="AP46" i="7"/>
  <c r="AO46" i="7"/>
  <c r="AN46" i="7"/>
  <c r="AM46" i="7"/>
  <c r="AL46" i="7"/>
  <c r="AJ46" i="7"/>
  <c r="AK46" i="7" s="1"/>
  <c r="AI46" i="7"/>
  <c r="AC46" i="7"/>
  <c r="AR45" i="7"/>
  <c r="AQ45" i="7"/>
  <c r="AP45" i="7"/>
  <c r="AO45" i="7"/>
  <c r="AN45" i="7"/>
  <c r="AM45" i="7"/>
  <c r="AL45" i="7"/>
  <c r="AJ45" i="7"/>
  <c r="AK45" i="7" s="1"/>
  <c r="AI45" i="7"/>
  <c r="AC45" i="7"/>
  <c r="AR44" i="7"/>
  <c r="AQ44" i="7"/>
  <c r="AP44" i="7"/>
  <c r="AO44" i="7"/>
  <c r="AN44" i="7"/>
  <c r="AM44" i="7"/>
  <c r="AL44" i="7"/>
  <c r="AJ44" i="7"/>
  <c r="AK44" i="7" s="1"/>
  <c r="AI44" i="7"/>
  <c r="AC44" i="7"/>
  <c r="AR43" i="7"/>
  <c r="AQ43" i="7"/>
  <c r="AP43" i="7"/>
  <c r="AO43" i="7"/>
  <c r="AN43" i="7"/>
  <c r="AM43" i="7"/>
  <c r="AL43" i="7"/>
  <c r="AJ43" i="7"/>
  <c r="AK43" i="7" s="1"/>
  <c r="AI43" i="7"/>
  <c r="AC43" i="7"/>
  <c r="AR42" i="7"/>
  <c r="AQ42" i="7"/>
  <c r="AP42" i="7"/>
  <c r="AO42" i="7"/>
  <c r="AN42" i="7"/>
  <c r="AM42" i="7"/>
  <c r="AL42" i="7"/>
  <c r="AJ42" i="7"/>
  <c r="AK42" i="7" s="1"/>
  <c r="AI42" i="7"/>
  <c r="AC42" i="7"/>
  <c r="AR41" i="7"/>
  <c r="AQ41" i="7"/>
  <c r="AP41" i="7"/>
  <c r="AO41" i="7"/>
  <c r="AN41" i="7"/>
  <c r="AM41" i="7"/>
  <c r="AL41" i="7"/>
  <c r="AJ41" i="7"/>
  <c r="AK41" i="7" s="1"/>
  <c r="AI41" i="7"/>
  <c r="AC41" i="7"/>
  <c r="AR40" i="7"/>
  <c r="AQ40" i="7"/>
  <c r="AP40" i="7"/>
  <c r="AO40" i="7"/>
  <c r="AN40" i="7"/>
  <c r="AM40" i="7"/>
  <c r="AL40" i="7"/>
  <c r="AJ40" i="7"/>
  <c r="AK40" i="7" s="1"/>
  <c r="AI40" i="7"/>
  <c r="AC40" i="7"/>
  <c r="AR39" i="7"/>
  <c r="AQ39" i="7"/>
  <c r="AP39" i="7"/>
  <c r="AO39" i="7"/>
  <c r="AN39" i="7"/>
  <c r="AM39" i="7"/>
  <c r="AL39" i="7"/>
  <c r="AJ39" i="7"/>
  <c r="AK39" i="7" s="1"/>
  <c r="AI39" i="7"/>
  <c r="AC39" i="7"/>
  <c r="AR38" i="7"/>
  <c r="AQ38" i="7"/>
  <c r="AP38" i="7"/>
  <c r="AO38" i="7"/>
  <c r="AN38" i="7"/>
  <c r="AM38" i="7"/>
  <c r="AL38" i="7"/>
  <c r="AJ38" i="7"/>
  <c r="AK38" i="7" s="1"/>
  <c r="AI38" i="7"/>
  <c r="AC38" i="7"/>
  <c r="AR37" i="7"/>
  <c r="AQ37" i="7"/>
  <c r="AP37" i="7"/>
  <c r="AO37" i="7"/>
  <c r="AN37" i="7"/>
  <c r="AM37" i="7"/>
  <c r="AL37" i="7"/>
  <c r="AJ37" i="7"/>
  <c r="AK37" i="7" s="1"/>
  <c r="AI37" i="7"/>
  <c r="AC37" i="7"/>
  <c r="AR36" i="7"/>
  <c r="AQ36" i="7"/>
  <c r="AP36" i="7"/>
  <c r="AO36" i="7"/>
  <c r="AN36" i="7"/>
  <c r="AM36" i="7"/>
  <c r="AL36" i="7"/>
  <c r="AJ36" i="7"/>
  <c r="AK36" i="7" s="1"/>
  <c r="AI36" i="7"/>
  <c r="AC36" i="7"/>
  <c r="AR35" i="7"/>
  <c r="AQ35" i="7"/>
  <c r="AP35" i="7"/>
  <c r="AO35" i="7"/>
  <c r="AN35" i="7"/>
  <c r="AM35" i="7"/>
  <c r="AL35" i="7"/>
  <c r="AJ35" i="7"/>
  <c r="AK35" i="7" s="1"/>
  <c r="AI35" i="7"/>
  <c r="AC35" i="7"/>
  <c r="AR34" i="7"/>
  <c r="AQ34" i="7"/>
  <c r="AP34" i="7"/>
  <c r="AO34" i="7"/>
  <c r="AN34" i="7"/>
  <c r="AM34" i="7"/>
  <c r="AL34" i="7"/>
  <c r="AJ34" i="7"/>
  <c r="AK34" i="7" s="1"/>
  <c r="AI34" i="7"/>
  <c r="AC34" i="7"/>
  <c r="AR33" i="7"/>
  <c r="AQ33" i="7"/>
  <c r="AP33" i="7"/>
  <c r="AO33" i="7"/>
  <c r="AN33" i="7"/>
  <c r="AM33" i="7"/>
  <c r="AL33" i="7"/>
  <c r="AJ33" i="7"/>
  <c r="AK33" i="7" s="1"/>
  <c r="AI33" i="7"/>
  <c r="AC33" i="7"/>
  <c r="AR32" i="7"/>
  <c r="AQ32" i="7"/>
  <c r="AP32" i="7"/>
  <c r="AO32" i="7"/>
  <c r="AN32" i="7"/>
  <c r="AM32" i="7"/>
  <c r="AL32" i="7"/>
  <c r="AJ32" i="7"/>
  <c r="AK32" i="7" s="1"/>
  <c r="AI32" i="7"/>
  <c r="AC32" i="7"/>
  <c r="AR31" i="7"/>
  <c r="AQ31" i="7"/>
  <c r="AP31" i="7"/>
  <c r="AO31" i="7"/>
  <c r="AN31" i="7"/>
  <c r="AM31" i="7"/>
  <c r="AL31" i="7"/>
  <c r="AJ31" i="7"/>
  <c r="AK31" i="7" s="1"/>
  <c r="AI31" i="7"/>
  <c r="AC31" i="7"/>
  <c r="AC30" i="7"/>
  <c r="AI30" i="7"/>
  <c r="AJ30" i="7"/>
  <c r="AK30" i="7" s="1"/>
  <c r="AR30" i="7"/>
  <c r="AQ30" i="7"/>
  <c r="AP30" i="7"/>
  <c r="AO30" i="7"/>
  <c r="AN30" i="7"/>
  <c r="AM30" i="7"/>
  <c r="AL30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B6" i="7"/>
  <c r="B7" i="7" s="1"/>
  <c r="M48" i="7"/>
  <c r="N48" i="7" s="1"/>
  <c r="M47" i="7"/>
  <c r="N47" i="7" s="1"/>
  <c r="M46" i="7"/>
  <c r="N46" i="7" s="1"/>
  <c r="M45" i="7"/>
  <c r="N45" i="7" s="1"/>
  <c r="M44" i="7"/>
  <c r="N44" i="7" s="1"/>
  <c r="M43" i="7"/>
  <c r="N43" i="7" s="1"/>
  <c r="M42" i="7"/>
  <c r="N42" i="7" s="1"/>
  <c r="M41" i="7"/>
  <c r="N41" i="7" s="1"/>
  <c r="M40" i="7"/>
  <c r="N40" i="7" s="1"/>
  <c r="M39" i="7"/>
  <c r="N39" i="7" s="1"/>
  <c r="M38" i="7"/>
  <c r="N38" i="7" s="1"/>
  <c r="M37" i="7"/>
  <c r="N37" i="7" s="1"/>
  <c r="M36" i="7"/>
  <c r="N36" i="7" s="1"/>
  <c r="M35" i="7"/>
  <c r="N35" i="7" s="1"/>
  <c r="M34" i="7"/>
  <c r="N34" i="7" s="1"/>
  <c r="M33" i="7"/>
  <c r="N33" i="7" s="1"/>
  <c r="M32" i="7"/>
  <c r="N32" i="7" s="1"/>
  <c r="M31" i="7"/>
  <c r="N31" i="7" s="1"/>
  <c r="M30" i="7"/>
  <c r="N30" i="7" s="1"/>
  <c r="M29" i="7"/>
  <c r="N29" i="7" s="1"/>
  <c r="M28" i="7"/>
  <c r="N28" i="7" s="1"/>
  <c r="M27" i="7"/>
  <c r="N27" i="7" s="1"/>
  <c r="M26" i="7"/>
  <c r="N26" i="7" s="1"/>
  <c r="M25" i="7"/>
  <c r="N25" i="7" s="1"/>
  <c r="M24" i="7"/>
  <c r="N24" i="7" s="1"/>
  <c r="M23" i="7"/>
  <c r="N23" i="7" s="1"/>
  <c r="M22" i="7"/>
  <c r="N22" i="7" s="1"/>
  <c r="M21" i="7"/>
  <c r="N21" i="7" s="1"/>
  <c r="M20" i="7"/>
  <c r="N20" i="7" s="1"/>
  <c r="H133" i="1"/>
  <c r="Q117" i="1"/>
  <c r="R117" i="1" s="1"/>
  <c r="Q118" i="1"/>
  <c r="R118" i="1" s="1"/>
  <c r="Q119" i="1"/>
  <c r="R119" i="1" s="1"/>
  <c r="Q120" i="1"/>
  <c r="R120" i="1" s="1"/>
  <c r="Q121" i="1"/>
  <c r="R121" i="1" s="1"/>
  <c r="Q122" i="1"/>
  <c r="R122" i="1" s="1"/>
  <c r="Q123" i="1"/>
  <c r="R123" i="1" s="1"/>
  <c r="Q124" i="1"/>
  <c r="R124" i="1" s="1"/>
  <c r="Q125" i="1"/>
  <c r="R125" i="1" s="1"/>
  <c r="Q126" i="1"/>
  <c r="R126" i="1" s="1"/>
  <c r="Q127" i="1"/>
  <c r="R127" i="1" s="1"/>
  <c r="Q128" i="1"/>
  <c r="R128" i="1" s="1"/>
  <c r="Q129" i="1"/>
  <c r="R129" i="1" s="1"/>
  <c r="Q130" i="1"/>
  <c r="R130" i="1" s="1"/>
  <c r="Q131" i="1"/>
  <c r="R131" i="1" s="1"/>
  <c r="Q132" i="1"/>
  <c r="R132" i="1" s="1"/>
  <c r="Q134" i="1"/>
  <c r="R134" i="1" s="1"/>
  <c r="Q116" i="1"/>
  <c r="R116" i="1" s="1"/>
  <c r="Q133" i="1"/>
  <c r="R133" i="1" s="1"/>
  <c r="Q115" i="1"/>
  <c r="R115" i="1" s="1"/>
  <c r="Q114" i="1"/>
  <c r="R114" i="1" s="1"/>
  <c r="Q113" i="1"/>
  <c r="R113" i="1" s="1"/>
  <c r="Q112" i="1"/>
  <c r="R112" i="1" s="1"/>
  <c r="Q111" i="1"/>
  <c r="R111" i="1" s="1"/>
  <c r="Q110" i="1"/>
  <c r="R110" i="1" s="1"/>
  <c r="H134" i="1"/>
  <c r="Q135" i="1"/>
  <c r="R135" i="1" s="1"/>
  <c r="H135" i="1"/>
  <c r="AK136" i="1"/>
  <c r="AK135" i="1"/>
  <c r="AK134" i="1"/>
  <c r="AK133" i="1"/>
  <c r="AK132" i="1"/>
  <c r="AK131" i="1"/>
  <c r="AK130" i="1"/>
  <c r="AK129" i="1"/>
  <c r="AK128" i="1"/>
  <c r="AK127" i="1"/>
  <c r="AK126" i="1"/>
  <c r="AK125" i="1"/>
  <c r="AK124" i="1"/>
  <c r="AK123" i="1"/>
  <c r="AK122" i="1"/>
  <c r="AK121" i="1"/>
  <c r="AK120" i="1"/>
  <c r="AK119" i="1"/>
  <c r="AK118" i="1"/>
  <c r="AK117" i="1"/>
  <c r="AK116" i="1"/>
  <c r="AK115" i="1"/>
  <c r="AK114" i="1"/>
  <c r="AK113" i="1"/>
  <c r="AK112" i="1"/>
  <c r="AK111" i="1"/>
  <c r="AK110" i="1"/>
  <c r="AK109" i="1"/>
  <c r="AG136" i="1"/>
  <c r="AG135" i="1"/>
  <c r="AG134" i="1"/>
  <c r="AG133" i="1"/>
  <c r="AG132" i="1"/>
  <c r="AG131" i="1"/>
  <c r="AG130" i="1"/>
  <c r="AG129" i="1"/>
  <c r="AG128" i="1"/>
  <c r="AG127" i="1"/>
  <c r="AG126" i="1"/>
  <c r="AG125" i="1"/>
  <c r="AG124" i="1"/>
  <c r="AG123" i="1"/>
  <c r="AG122" i="1"/>
  <c r="AG121" i="1"/>
  <c r="AG120" i="1"/>
  <c r="AG119" i="1"/>
  <c r="AG118" i="1"/>
  <c r="AG117" i="1"/>
  <c r="AG116" i="1"/>
  <c r="AG115" i="1"/>
  <c r="AG114" i="1"/>
  <c r="AG113" i="1"/>
  <c r="AG112" i="1"/>
  <c r="AG111" i="1"/>
  <c r="AG110" i="1"/>
  <c r="AG109" i="1"/>
  <c r="AE136" i="1"/>
  <c r="AE135" i="1"/>
  <c r="Q136" i="1"/>
  <c r="R136" i="1" s="1"/>
  <c r="H136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B103" i="1"/>
  <c r="E86" i="2"/>
  <c r="N85" i="2"/>
  <c r="E85" i="2"/>
  <c r="N84" i="2"/>
  <c r="E84" i="2"/>
  <c r="N83" i="2"/>
  <c r="E83" i="2"/>
  <c r="N82" i="2"/>
  <c r="E82" i="2"/>
  <c r="N81" i="2"/>
  <c r="E81" i="2"/>
  <c r="B112" i="1"/>
  <c r="AI80" i="2"/>
  <c r="AQ80" i="2"/>
  <c r="AP80" i="2"/>
  <c r="AO80" i="2"/>
  <c r="AN80" i="2"/>
  <c r="AM80" i="2"/>
  <c r="AL80" i="2"/>
  <c r="AK80" i="2"/>
  <c r="AQ79" i="2"/>
  <c r="AP79" i="2"/>
  <c r="AO79" i="2"/>
  <c r="AN79" i="2"/>
  <c r="AM79" i="2"/>
  <c r="AL79" i="2"/>
  <c r="AK79" i="2"/>
  <c r="AI79" i="2"/>
  <c r="AQ78" i="2"/>
  <c r="AP78" i="2"/>
  <c r="AO78" i="2"/>
  <c r="AN78" i="2"/>
  <c r="AM78" i="2"/>
  <c r="AL78" i="2"/>
  <c r="AK78" i="2"/>
  <c r="AI78" i="2"/>
  <c r="AQ77" i="2"/>
  <c r="AP77" i="2"/>
  <c r="AO77" i="2"/>
  <c r="AN77" i="2"/>
  <c r="AM77" i="2"/>
  <c r="AL77" i="2"/>
  <c r="AK77" i="2"/>
  <c r="AI77" i="2"/>
  <c r="AQ76" i="2"/>
  <c r="AP76" i="2"/>
  <c r="AO76" i="2"/>
  <c r="AN76" i="2"/>
  <c r="AM76" i="2"/>
  <c r="AL76" i="2"/>
  <c r="AK76" i="2"/>
  <c r="AI76" i="2"/>
  <c r="AQ75" i="2"/>
  <c r="AP75" i="2"/>
  <c r="AO75" i="2"/>
  <c r="AN75" i="2"/>
  <c r="AM75" i="2"/>
  <c r="AL75" i="2"/>
  <c r="AK75" i="2"/>
  <c r="AI75" i="2"/>
  <c r="AQ74" i="2"/>
  <c r="AP74" i="2"/>
  <c r="AO74" i="2"/>
  <c r="AN74" i="2"/>
  <c r="AM74" i="2"/>
  <c r="AL74" i="2"/>
  <c r="AK74" i="2"/>
  <c r="AI74" i="2"/>
  <c r="AG80" i="2"/>
  <c r="AF80" i="2"/>
  <c r="AG79" i="2"/>
  <c r="AF79" i="2"/>
  <c r="AG78" i="2"/>
  <c r="AF78" i="2"/>
  <c r="AG77" i="2"/>
  <c r="AF77" i="2"/>
  <c r="AG76" i="2"/>
  <c r="AF76" i="2"/>
  <c r="AG75" i="2"/>
  <c r="AF75" i="2"/>
  <c r="AG74" i="2"/>
  <c r="AF74" i="2"/>
  <c r="AC80" i="2"/>
  <c r="AC79" i="2"/>
  <c r="AC78" i="2"/>
  <c r="AC77" i="2"/>
  <c r="AC76" i="2"/>
  <c r="AC75" i="2"/>
  <c r="AC74" i="2"/>
  <c r="N74" i="2"/>
  <c r="N75" i="2"/>
  <c r="N78" i="2"/>
  <c r="N80" i="2"/>
  <c r="N77" i="2"/>
  <c r="N79" i="2"/>
  <c r="N76" i="2"/>
  <c r="E80" i="2"/>
  <c r="E79" i="2"/>
  <c r="E78" i="2"/>
  <c r="E77" i="2"/>
  <c r="E76" i="2"/>
  <c r="E75" i="2"/>
  <c r="E74" i="2"/>
  <c r="B62" i="2"/>
  <c r="B63" i="2" s="1"/>
  <c r="B64" i="2" s="1"/>
  <c r="B65" i="2" s="1"/>
  <c r="B66" i="2" s="1"/>
  <c r="B67" i="2" s="1"/>
  <c r="B68" i="2" s="1"/>
  <c r="Z5" i="9"/>
  <c r="N5" i="9"/>
  <c r="O5" i="9" s="1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R5" i="9"/>
  <c r="AQ5" i="9"/>
  <c r="AP5" i="9"/>
  <c r="AO5" i="9"/>
  <c r="AN5" i="9"/>
  <c r="AM5" i="9"/>
  <c r="AL5" i="9"/>
  <c r="AK5" i="9"/>
  <c r="AI5" i="9"/>
  <c r="AH5" i="9"/>
  <c r="AF5" i="9"/>
  <c r="AC5" i="9"/>
  <c r="F5" i="9"/>
  <c r="AK4" i="9"/>
  <c r="AI4" i="9"/>
  <c r="AH4" i="9"/>
  <c r="AF4" i="9"/>
  <c r="AC4" i="9"/>
  <c r="F4" i="9"/>
  <c r="AR29" i="7"/>
  <c r="AQ29" i="7"/>
  <c r="AP29" i="7"/>
  <c r="AO29" i="7"/>
  <c r="AN29" i="7"/>
  <c r="AM29" i="7"/>
  <c r="AL29" i="7"/>
  <c r="AR28" i="7"/>
  <c r="AQ28" i="7"/>
  <c r="AP28" i="7"/>
  <c r="AO28" i="7"/>
  <c r="AN28" i="7"/>
  <c r="AM28" i="7"/>
  <c r="AL28" i="7"/>
  <c r="AR27" i="7"/>
  <c r="AQ27" i="7"/>
  <c r="AP27" i="7"/>
  <c r="AO27" i="7"/>
  <c r="AN27" i="7"/>
  <c r="AM27" i="7"/>
  <c r="AL27" i="7"/>
  <c r="AJ27" i="7"/>
  <c r="AK27" i="7" s="1"/>
  <c r="AI29" i="7"/>
  <c r="AC29" i="7"/>
  <c r="AI28" i="7"/>
  <c r="AC28" i="7"/>
  <c r="AI27" i="7"/>
  <c r="AC27" i="7"/>
  <c r="AJ29" i="7"/>
  <c r="AK29" i="7" s="1"/>
  <c r="AJ28" i="7"/>
  <c r="AK28" i="7" s="1"/>
  <c r="AQ71" i="2"/>
  <c r="AP71" i="2"/>
  <c r="AO71" i="2"/>
  <c r="AN71" i="2"/>
  <c r="AM71" i="2"/>
  <c r="AL71" i="2"/>
  <c r="AK71" i="2"/>
  <c r="AP70" i="2"/>
  <c r="AO70" i="2"/>
  <c r="AN70" i="2"/>
  <c r="AM70" i="2"/>
  <c r="AL70" i="2"/>
  <c r="AK70" i="2"/>
  <c r="AP69" i="2"/>
  <c r="AO69" i="2"/>
  <c r="AN69" i="2"/>
  <c r="AM69" i="2"/>
  <c r="AL69" i="2"/>
  <c r="AK69" i="2"/>
  <c r="AP68" i="2"/>
  <c r="AO68" i="2"/>
  <c r="AN68" i="2"/>
  <c r="AM68" i="2"/>
  <c r="AL68" i="2"/>
  <c r="AK68" i="2"/>
  <c r="AC69" i="2"/>
  <c r="AC68" i="2"/>
  <c r="AI71" i="2"/>
  <c r="AI70" i="2"/>
  <c r="AI69" i="2"/>
  <c r="AI68" i="2"/>
  <c r="AG71" i="2"/>
  <c r="AG70" i="2"/>
  <c r="AG69" i="2"/>
  <c r="AG68" i="2"/>
  <c r="AC70" i="2"/>
  <c r="AC71" i="2"/>
  <c r="AQ70" i="2"/>
  <c r="AQ69" i="2"/>
  <c r="AQ68" i="2"/>
  <c r="Z71" i="2"/>
  <c r="Z72" i="2" s="1"/>
  <c r="AI73" i="2"/>
  <c r="AP73" i="2"/>
  <c r="AO73" i="2"/>
  <c r="N73" i="2"/>
  <c r="E73" i="2"/>
  <c r="AQ73" i="2"/>
  <c r="AN73" i="2"/>
  <c r="AM73" i="2"/>
  <c r="AL73" i="2"/>
  <c r="AK73" i="2"/>
  <c r="AG73" i="2"/>
  <c r="AF73" i="2"/>
  <c r="AC73" i="2"/>
  <c r="AQ72" i="2"/>
  <c r="AP72" i="2"/>
  <c r="AO72" i="2"/>
  <c r="AN72" i="2"/>
  <c r="AM72" i="2"/>
  <c r="AL72" i="2"/>
  <c r="AK72" i="2"/>
  <c r="AI72" i="2"/>
  <c r="AG72" i="2"/>
  <c r="AF72" i="2"/>
  <c r="AC72" i="2"/>
  <c r="AA70" i="2"/>
  <c r="AA69" i="2"/>
  <c r="AA68" i="2"/>
  <c r="N72" i="2"/>
  <c r="E72" i="2"/>
  <c r="N71" i="2"/>
  <c r="N70" i="2"/>
  <c r="N69" i="2"/>
  <c r="N68" i="2"/>
  <c r="E71" i="2"/>
  <c r="E70" i="2"/>
  <c r="E69" i="2"/>
  <c r="E68" i="2"/>
  <c r="A67" i="2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R26" i="7"/>
  <c r="AQ26" i="7"/>
  <c r="AP26" i="7"/>
  <c r="AO26" i="7"/>
  <c r="AN26" i="7"/>
  <c r="AM26" i="7"/>
  <c r="AL26" i="7"/>
  <c r="AR25" i="7"/>
  <c r="AQ25" i="7"/>
  <c r="AP25" i="7"/>
  <c r="AO25" i="7"/>
  <c r="AN25" i="7"/>
  <c r="AM25" i="7"/>
  <c r="AL25" i="7"/>
  <c r="AR24" i="7"/>
  <c r="AQ24" i="7"/>
  <c r="AP24" i="7"/>
  <c r="AO24" i="7"/>
  <c r="AN24" i="7"/>
  <c r="AM24" i="7"/>
  <c r="AL24" i="7"/>
  <c r="AR23" i="7"/>
  <c r="AQ23" i="7"/>
  <c r="AP23" i="7"/>
  <c r="AO23" i="7"/>
  <c r="AN23" i="7"/>
  <c r="AM23" i="7"/>
  <c r="AL23" i="7"/>
  <c r="AJ26" i="7"/>
  <c r="AK26" i="7" s="1"/>
  <c r="AI26" i="7"/>
  <c r="AC26" i="7"/>
  <c r="AC25" i="7"/>
  <c r="AJ25" i="7"/>
  <c r="AK25" i="7" s="1"/>
  <c r="AI25" i="7"/>
  <c r="AC24" i="7"/>
  <c r="AI24" i="7"/>
  <c r="AJ24" i="7"/>
  <c r="AK24" i="7" s="1"/>
  <c r="AC23" i="7"/>
  <c r="AI23" i="7"/>
  <c r="AJ23" i="7"/>
  <c r="AK23" i="7" s="1"/>
  <c r="AI67" i="2"/>
  <c r="AC67" i="2"/>
  <c r="AG67" i="2"/>
  <c r="AR22" i="7"/>
  <c r="AQ22" i="7"/>
  <c r="AP22" i="7"/>
  <c r="AO22" i="7"/>
  <c r="AN22" i="7"/>
  <c r="AM22" i="7"/>
  <c r="AL22" i="7"/>
  <c r="AR21" i="7"/>
  <c r="AQ21" i="7"/>
  <c r="AP21" i="7"/>
  <c r="AO21" i="7"/>
  <c r="AN21" i="7"/>
  <c r="AM21" i="7"/>
  <c r="AL21" i="7"/>
  <c r="AR20" i="7"/>
  <c r="AQ20" i="7"/>
  <c r="AP20" i="7"/>
  <c r="AO20" i="7"/>
  <c r="AN20" i="7"/>
  <c r="AM20" i="7"/>
  <c r="AL20" i="7"/>
  <c r="M15" i="7"/>
  <c r="N15" i="7" s="1"/>
  <c r="M16" i="7"/>
  <c r="N16" i="7" s="1"/>
  <c r="M17" i="7"/>
  <c r="N17" i="7" s="1"/>
  <c r="M18" i="7"/>
  <c r="N18" i="7" s="1"/>
  <c r="M19" i="7"/>
  <c r="N19" i="7" s="1"/>
  <c r="AR19" i="7"/>
  <c r="AQ19" i="7"/>
  <c r="AP19" i="7"/>
  <c r="AO19" i="7"/>
  <c r="AN19" i="7"/>
  <c r="AM19" i="7"/>
  <c r="AL19" i="7"/>
  <c r="AR18" i="7"/>
  <c r="AQ18" i="7"/>
  <c r="AP18" i="7"/>
  <c r="AO18" i="7"/>
  <c r="AN18" i="7"/>
  <c r="AM18" i="7"/>
  <c r="AL18" i="7"/>
  <c r="AR17" i="7"/>
  <c r="AQ17" i="7"/>
  <c r="AP17" i="7"/>
  <c r="AO17" i="7"/>
  <c r="AN17" i="7"/>
  <c r="AM17" i="7"/>
  <c r="AL17" i="7"/>
  <c r="AR16" i="7"/>
  <c r="AQ16" i="7"/>
  <c r="AP16" i="7"/>
  <c r="AO16" i="7"/>
  <c r="AN16" i="7"/>
  <c r="AM16" i="7"/>
  <c r="AL16" i="7"/>
  <c r="AR15" i="7"/>
  <c r="AQ15" i="7"/>
  <c r="AP15" i="7"/>
  <c r="AO15" i="7"/>
  <c r="AN15" i="7"/>
  <c r="AM15" i="7"/>
  <c r="AL15" i="7"/>
  <c r="AJ22" i="7"/>
  <c r="AK22" i="7" s="1"/>
  <c r="AJ21" i="7"/>
  <c r="AK21" i="7" s="1"/>
  <c r="AJ20" i="7"/>
  <c r="AK20" i="7" s="1"/>
  <c r="AJ19" i="7"/>
  <c r="AK19" i="7" s="1"/>
  <c r="AJ18" i="7"/>
  <c r="AK18" i="7" s="1"/>
  <c r="AJ17" i="7"/>
  <c r="AK17" i="7" s="1"/>
  <c r="AJ16" i="7"/>
  <c r="AK16" i="7" s="1"/>
  <c r="AJ15" i="7"/>
  <c r="AK15" i="7" s="1"/>
  <c r="AI22" i="7"/>
  <c r="AC22" i="7"/>
  <c r="AI21" i="7"/>
  <c r="AC21" i="7"/>
  <c r="AI20" i="7"/>
  <c r="AC20" i="7"/>
  <c r="AI19" i="7"/>
  <c r="AC19" i="7"/>
  <c r="AI18" i="7"/>
  <c r="AC18" i="7"/>
  <c r="AI17" i="7"/>
  <c r="AC17" i="7"/>
  <c r="AI16" i="7"/>
  <c r="AC16" i="7"/>
  <c r="AI15" i="7"/>
  <c r="AC15" i="7"/>
  <c r="E19" i="7"/>
  <c r="E18" i="7"/>
  <c r="E17" i="7"/>
  <c r="E16" i="7"/>
  <c r="E15" i="7"/>
  <c r="H103" i="1"/>
  <c r="AA67" i="2"/>
  <c r="AQ67" i="2"/>
  <c r="AP67" i="2"/>
  <c r="AO67" i="2"/>
  <c r="AN67" i="2"/>
  <c r="AM67" i="2"/>
  <c r="AL67" i="2"/>
  <c r="AK67" i="2"/>
  <c r="N67" i="2"/>
  <c r="E67" i="2"/>
  <c r="AI66" i="2"/>
  <c r="AC66" i="2"/>
  <c r="AG66" i="2"/>
  <c r="AA66" i="2"/>
  <c r="AQ66" i="2"/>
  <c r="AP66" i="2"/>
  <c r="AO66" i="2"/>
  <c r="AN66" i="2"/>
  <c r="AM66" i="2"/>
  <c r="AL66" i="2"/>
  <c r="AK66" i="2"/>
  <c r="N66" i="2"/>
  <c r="E66" i="2"/>
  <c r="AE109" i="1"/>
  <c r="Q109" i="1"/>
  <c r="R109" i="1" s="1"/>
  <c r="H109" i="1"/>
  <c r="AK108" i="1"/>
  <c r="AG108" i="1"/>
  <c r="AE108" i="1"/>
  <c r="Q108" i="1"/>
  <c r="R108" i="1" s="1"/>
  <c r="H108" i="1"/>
  <c r="AQ65" i="2"/>
  <c r="AP65" i="2"/>
  <c r="AO65" i="2"/>
  <c r="AN65" i="2"/>
  <c r="AM65" i="2"/>
  <c r="AL65" i="2"/>
  <c r="AK65" i="2"/>
  <c r="AQ64" i="2"/>
  <c r="AP64" i="2"/>
  <c r="AO64" i="2"/>
  <c r="AN64" i="2"/>
  <c r="AM64" i="2"/>
  <c r="AL64" i="2"/>
  <c r="AK64" i="2"/>
  <c r="AI65" i="2"/>
  <c r="AI64" i="2"/>
  <c r="AC65" i="2"/>
  <c r="AG65" i="2"/>
  <c r="AC64" i="2"/>
  <c r="AG64" i="2"/>
  <c r="N65" i="2"/>
  <c r="N64" i="2"/>
  <c r="E65" i="2"/>
  <c r="E64" i="2"/>
  <c r="N61" i="2"/>
  <c r="AI63" i="2"/>
  <c r="AE63" i="2"/>
  <c r="AE64" i="2" s="1"/>
  <c r="AC63" i="2"/>
  <c r="AG63" i="2"/>
  <c r="AQ63" i="2"/>
  <c r="AP63" i="2"/>
  <c r="AO63" i="2"/>
  <c r="AN63" i="2"/>
  <c r="AM63" i="2"/>
  <c r="AL63" i="2"/>
  <c r="AK63" i="2"/>
  <c r="N63" i="2"/>
  <c r="E63" i="2"/>
  <c r="AQ62" i="2"/>
  <c r="AP62" i="2"/>
  <c r="AO62" i="2"/>
  <c r="AN62" i="2"/>
  <c r="AM62" i="2"/>
  <c r="AL62" i="2"/>
  <c r="AK62" i="2"/>
  <c r="AI62" i="2"/>
  <c r="AQ61" i="2"/>
  <c r="AP61" i="2"/>
  <c r="AO61" i="2"/>
  <c r="AN61" i="2"/>
  <c r="AM61" i="2"/>
  <c r="AL61" i="2"/>
  <c r="AK61" i="2"/>
  <c r="AI61" i="2"/>
  <c r="AF62" i="2"/>
  <c r="AF61" i="2"/>
  <c r="AC62" i="2"/>
  <c r="AG62" i="2"/>
  <c r="AC61" i="2"/>
  <c r="AG61" i="2"/>
  <c r="N62" i="2"/>
  <c r="E62" i="2"/>
  <c r="E61" i="2"/>
  <c r="AI60" i="2"/>
  <c r="AF60" i="2"/>
  <c r="AC60" i="2"/>
  <c r="AG60" i="2"/>
  <c r="AQ60" i="2"/>
  <c r="AP60" i="2"/>
  <c r="AO60" i="2"/>
  <c r="AN60" i="2"/>
  <c r="AM60" i="2"/>
  <c r="AL60" i="2"/>
  <c r="AK60" i="2"/>
  <c r="N60" i="2"/>
  <c r="E60" i="2"/>
  <c r="AR6" i="7"/>
  <c r="AR5" i="7"/>
  <c r="AQ6" i="7"/>
  <c r="AQ5" i="7"/>
  <c r="AP6" i="7"/>
  <c r="AP5" i="7"/>
  <c r="AO6" i="7"/>
  <c r="AO5" i="7"/>
  <c r="AN6" i="7"/>
  <c r="AN5" i="7"/>
  <c r="AM6" i="7"/>
  <c r="AM5" i="7"/>
  <c r="AL6" i="7"/>
  <c r="AL5" i="7"/>
  <c r="AI59" i="2"/>
  <c r="AF59" i="2"/>
  <c r="AC59" i="2"/>
  <c r="AG59" i="2"/>
  <c r="AQ59" i="2"/>
  <c r="AP59" i="2"/>
  <c r="AO59" i="2"/>
  <c r="AN59" i="2"/>
  <c r="AM59" i="2"/>
  <c r="AL59" i="2"/>
  <c r="AK59" i="2"/>
  <c r="N59" i="2"/>
  <c r="E59" i="2"/>
  <c r="AI58" i="2"/>
  <c r="AF58" i="2"/>
  <c r="AC58" i="2"/>
  <c r="AG58" i="2"/>
  <c r="AQ58" i="2"/>
  <c r="AP58" i="2"/>
  <c r="AO58" i="2"/>
  <c r="AN58" i="2"/>
  <c r="AM58" i="2"/>
  <c r="AL58" i="2"/>
  <c r="AK58" i="2"/>
  <c r="N58" i="2"/>
  <c r="E58" i="2"/>
  <c r="AI57" i="2"/>
  <c r="AF57" i="2"/>
  <c r="AC57" i="2"/>
  <c r="AG57" i="2"/>
  <c r="AQ57" i="2"/>
  <c r="AP57" i="2"/>
  <c r="AO57" i="2"/>
  <c r="AN57" i="2"/>
  <c r="AM57" i="2"/>
  <c r="AL57" i="2"/>
  <c r="AK57" i="2"/>
  <c r="N57" i="2"/>
  <c r="E57" i="2"/>
  <c r="AM102" i="1"/>
  <c r="AG102" i="1"/>
  <c r="AK102" i="1"/>
  <c r="AT102" i="1"/>
  <c r="AS102" i="1"/>
  <c r="AR102" i="1"/>
  <c r="AQ102" i="1"/>
  <c r="AP102" i="1"/>
  <c r="AO102" i="1"/>
  <c r="Q102" i="1"/>
  <c r="R102" i="1" s="1"/>
  <c r="H102" i="1"/>
  <c r="AM101" i="1"/>
  <c r="AG101" i="1"/>
  <c r="AK101" i="1"/>
  <c r="AT101" i="1"/>
  <c r="AS101" i="1"/>
  <c r="AR101" i="1"/>
  <c r="AQ101" i="1"/>
  <c r="AP101" i="1"/>
  <c r="AO101" i="1"/>
  <c r="Q101" i="1"/>
  <c r="R101" i="1" s="1"/>
  <c r="H101" i="1"/>
  <c r="AM100" i="1"/>
  <c r="AG100" i="1"/>
  <c r="AK100" i="1"/>
  <c r="AT100" i="1"/>
  <c r="AS100" i="1"/>
  <c r="AR100" i="1"/>
  <c r="AQ100" i="1"/>
  <c r="AP100" i="1"/>
  <c r="AO100" i="1"/>
  <c r="Q100" i="1"/>
  <c r="R100" i="1" s="1"/>
  <c r="H100" i="1"/>
  <c r="AM99" i="1"/>
  <c r="AG99" i="1"/>
  <c r="AK99" i="1"/>
  <c r="AT99" i="1"/>
  <c r="AS99" i="1"/>
  <c r="AR99" i="1"/>
  <c r="AQ99" i="1"/>
  <c r="AP99" i="1"/>
  <c r="AO99" i="1"/>
  <c r="Q99" i="1"/>
  <c r="R99" i="1" s="1"/>
  <c r="H99" i="1"/>
  <c r="AR14" i="7"/>
  <c r="AQ14" i="7"/>
  <c r="AP14" i="7"/>
  <c r="AO14" i="7"/>
  <c r="AN14" i="7"/>
  <c r="AM14" i="7"/>
  <c r="AL14" i="7"/>
  <c r="AK14" i="7"/>
  <c r="AR13" i="7"/>
  <c r="AQ13" i="7"/>
  <c r="AP13" i="7"/>
  <c r="AO13" i="7"/>
  <c r="AN13" i="7"/>
  <c r="AM13" i="7"/>
  <c r="AL13" i="7"/>
  <c r="AK13" i="7"/>
  <c r="AR12" i="7"/>
  <c r="AQ12" i="7"/>
  <c r="AP12" i="7"/>
  <c r="AO12" i="7"/>
  <c r="AN12" i="7"/>
  <c r="AM12" i="7"/>
  <c r="AL12" i="7"/>
  <c r="AK12" i="7"/>
  <c r="AR11" i="7"/>
  <c r="AQ11" i="7"/>
  <c r="AP11" i="7"/>
  <c r="AO11" i="7"/>
  <c r="AN11" i="7"/>
  <c r="AM11" i="7"/>
  <c r="AL11" i="7"/>
  <c r="AK11" i="7"/>
  <c r="E14" i="7"/>
  <c r="E13" i="7"/>
  <c r="E12" i="7"/>
  <c r="E11" i="7"/>
  <c r="AI14" i="7"/>
  <c r="AI13" i="7"/>
  <c r="AI12" i="7"/>
  <c r="AI11" i="7"/>
  <c r="AC14" i="7"/>
  <c r="AC13" i="7"/>
  <c r="AC12" i="7"/>
  <c r="AC11" i="7"/>
  <c r="Z10" i="7"/>
  <c r="M14" i="7"/>
  <c r="N14" i="7" s="1"/>
  <c r="M13" i="7"/>
  <c r="N13" i="7" s="1"/>
  <c r="M12" i="7"/>
  <c r="N12" i="7" s="1"/>
  <c r="M11" i="7"/>
  <c r="N11" i="7" s="1"/>
  <c r="AI56" i="2"/>
  <c r="AF56" i="2"/>
  <c r="AC56" i="2"/>
  <c r="AG56" i="2"/>
  <c r="AQ56" i="2"/>
  <c r="AP56" i="2"/>
  <c r="AO56" i="2"/>
  <c r="AN56" i="2"/>
  <c r="AM56" i="2"/>
  <c r="AL56" i="2"/>
  <c r="AK56" i="2"/>
  <c r="N56" i="2"/>
  <c r="E56" i="2"/>
  <c r="AT98" i="1"/>
  <c r="AS98" i="1"/>
  <c r="AR98" i="1"/>
  <c r="AQ98" i="1"/>
  <c r="AP98" i="1"/>
  <c r="AO98" i="1"/>
  <c r="AM98" i="1"/>
  <c r="AK98" i="1"/>
  <c r="AG98" i="1"/>
  <c r="Q98" i="1"/>
  <c r="R98" i="1" s="1"/>
  <c r="H98" i="1"/>
  <c r="AQ55" i="2"/>
  <c r="AP55" i="2"/>
  <c r="AO55" i="2"/>
  <c r="AN55" i="2"/>
  <c r="AM55" i="2"/>
  <c r="AL55" i="2"/>
  <c r="AK55" i="2"/>
  <c r="AI55" i="2"/>
  <c r="AG55" i="2"/>
  <c r="AF55" i="2"/>
  <c r="AC55" i="2"/>
  <c r="N55" i="2"/>
  <c r="E55" i="2"/>
  <c r="AP10" i="7"/>
  <c r="AP9" i="7"/>
  <c r="AR10" i="7"/>
  <c r="AQ10" i="7"/>
  <c r="AO10" i="7"/>
  <c r="AN10" i="7"/>
  <c r="AM10" i="7"/>
  <c r="AL10" i="7"/>
  <c r="M10" i="7"/>
  <c r="N10" i="7" s="1"/>
  <c r="E10" i="7"/>
  <c r="A10" i="7"/>
  <c r="AJ10" i="7"/>
  <c r="AK10" i="7" s="1"/>
  <c r="AI10" i="7"/>
  <c r="AC10" i="7"/>
  <c r="H97" i="1"/>
  <c r="H96" i="1"/>
  <c r="H95" i="1"/>
  <c r="H94" i="1"/>
  <c r="H93" i="1"/>
  <c r="H92" i="1"/>
  <c r="Q95" i="1"/>
  <c r="R95" i="1" s="1"/>
  <c r="AT97" i="1"/>
  <c r="AS97" i="1"/>
  <c r="AR97" i="1"/>
  <c r="AQ97" i="1"/>
  <c r="AP97" i="1"/>
  <c r="AO97" i="1"/>
  <c r="AM97" i="1"/>
  <c r="AK97" i="1"/>
  <c r="AG97" i="1"/>
  <c r="AT96" i="1"/>
  <c r="AS96" i="1"/>
  <c r="AR96" i="1"/>
  <c r="AQ96" i="1"/>
  <c r="AP96" i="1"/>
  <c r="AO96" i="1"/>
  <c r="AM96" i="1"/>
  <c r="AK96" i="1"/>
  <c r="AG96" i="1"/>
  <c r="AT95" i="1"/>
  <c r="AS95" i="1"/>
  <c r="AR95" i="1"/>
  <c r="AQ95" i="1"/>
  <c r="AP95" i="1"/>
  <c r="AO95" i="1"/>
  <c r="AM95" i="1"/>
  <c r="AK95" i="1"/>
  <c r="AG95" i="1"/>
  <c r="Q97" i="1"/>
  <c r="R97" i="1" s="1"/>
  <c r="Q96" i="1"/>
  <c r="R96" i="1" s="1"/>
  <c r="AF54" i="2"/>
  <c r="AC54" i="2"/>
  <c r="AG54" i="2"/>
  <c r="AI54" i="2"/>
  <c r="AQ54" i="2"/>
  <c r="AP54" i="2"/>
  <c r="AO54" i="2"/>
  <c r="AN54" i="2"/>
  <c r="AM54" i="2"/>
  <c r="AL54" i="2"/>
  <c r="AK54" i="2"/>
  <c r="N54" i="2"/>
  <c r="E54" i="2"/>
  <c r="AI53" i="2"/>
  <c r="AF53" i="2"/>
  <c r="AC53" i="2"/>
  <c r="AG53" i="2"/>
  <c r="AQ53" i="2"/>
  <c r="AP53" i="2"/>
  <c r="AO53" i="2"/>
  <c r="AN53" i="2"/>
  <c r="AM53" i="2"/>
  <c r="AL53" i="2"/>
  <c r="AK53" i="2"/>
  <c r="N53" i="2"/>
  <c r="E53" i="2"/>
  <c r="AI52" i="2"/>
  <c r="AF52" i="2"/>
  <c r="AC52" i="2"/>
  <c r="AG52" i="2"/>
  <c r="AQ52" i="2"/>
  <c r="AP52" i="2"/>
  <c r="AO52" i="2"/>
  <c r="AN52" i="2"/>
  <c r="AM52" i="2"/>
  <c r="AL52" i="2"/>
  <c r="AK52" i="2"/>
  <c r="N52" i="2"/>
  <c r="E52" i="2"/>
  <c r="AC9" i="7"/>
  <c r="AI9" i="7"/>
  <c r="AJ9" i="7"/>
  <c r="AK9" i="7" s="1"/>
  <c r="AA9" i="7"/>
  <c r="AR9" i="7"/>
  <c r="AQ9" i="7"/>
  <c r="AO9" i="7"/>
  <c r="AN9" i="7"/>
  <c r="AM9" i="7"/>
  <c r="AL9" i="7"/>
  <c r="M9" i="7"/>
  <c r="N9" i="7" s="1"/>
  <c r="E9" i="7"/>
  <c r="AN8" i="7"/>
  <c r="AJ8" i="7"/>
  <c r="AK8" i="7" s="1"/>
  <c r="AC8" i="7"/>
  <c r="AI8" i="7"/>
  <c r="AA8" i="7"/>
  <c r="AR8" i="7"/>
  <c r="AQ8" i="7"/>
  <c r="AP8" i="7"/>
  <c r="AO8" i="7"/>
  <c r="AM8" i="7"/>
  <c r="AL8" i="7"/>
  <c r="M8" i="7"/>
  <c r="N8" i="7" s="1"/>
  <c r="E8" i="7"/>
  <c r="AR7" i="7"/>
  <c r="AQ7" i="7"/>
  <c r="AP7" i="7"/>
  <c r="AO7" i="7"/>
  <c r="AN7" i="7"/>
  <c r="AM7" i="7"/>
  <c r="AL7" i="7"/>
  <c r="AJ7" i="7"/>
  <c r="AK7" i="7" s="1"/>
  <c r="AI7" i="7"/>
  <c r="AC7" i="7"/>
  <c r="M7" i="7"/>
  <c r="N7" i="7" s="1"/>
  <c r="E7" i="7"/>
  <c r="AI51" i="2"/>
  <c r="AF51" i="2"/>
  <c r="AC51" i="2"/>
  <c r="AG51" i="2"/>
  <c r="AQ51" i="2"/>
  <c r="AP51" i="2"/>
  <c r="AO51" i="2"/>
  <c r="AN51" i="2"/>
  <c r="AM51" i="2"/>
  <c r="AL51" i="2"/>
  <c r="AK51" i="2"/>
  <c r="N51" i="2"/>
  <c r="E51" i="2"/>
  <c r="AI50" i="2"/>
  <c r="AF50" i="2"/>
  <c r="AC50" i="2"/>
  <c r="AG50" i="2"/>
  <c r="AQ50" i="2"/>
  <c r="AP50" i="2"/>
  <c r="AO50" i="2"/>
  <c r="AN50" i="2"/>
  <c r="AM50" i="2"/>
  <c r="AL50" i="2"/>
  <c r="AK50" i="2"/>
  <c r="N50" i="2"/>
  <c r="E50" i="2"/>
  <c r="AI49" i="2"/>
  <c r="AF49" i="2"/>
  <c r="AC49" i="2"/>
  <c r="AG49" i="2"/>
  <c r="AQ49" i="2"/>
  <c r="AP49" i="2"/>
  <c r="AO49" i="2"/>
  <c r="AN49" i="2"/>
  <c r="AM49" i="2"/>
  <c r="AL49" i="2"/>
  <c r="AK49" i="2"/>
  <c r="N49" i="2"/>
  <c r="E49" i="2"/>
  <c r="AD91" i="1"/>
  <c r="AE91" i="1" s="1"/>
  <c r="AT94" i="1"/>
  <c r="AS94" i="1"/>
  <c r="AR94" i="1"/>
  <c r="AQ94" i="1"/>
  <c r="AP94" i="1"/>
  <c r="AO94" i="1"/>
  <c r="AM94" i="1"/>
  <c r="AK94" i="1"/>
  <c r="AT93" i="1"/>
  <c r="AS93" i="1"/>
  <c r="AR93" i="1"/>
  <c r="AQ93" i="1"/>
  <c r="AP93" i="1"/>
  <c r="AO93" i="1"/>
  <c r="AM93" i="1"/>
  <c r="AK93" i="1"/>
  <c r="AT92" i="1"/>
  <c r="AS92" i="1"/>
  <c r="AR92" i="1"/>
  <c r="AQ92" i="1"/>
  <c r="AP92" i="1"/>
  <c r="AO92" i="1"/>
  <c r="AM92" i="1"/>
  <c r="AK92" i="1"/>
  <c r="AG94" i="1"/>
  <c r="AG93" i="1"/>
  <c r="AG92" i="1"/>
  <c r="Q94" i="1"/>
  <c r="R94" i="1" s="1"/>
  <c r="Q92" i="1"/>
  <c r="R92" i="1" s="1"/>
  <c r="Q93" i="1"/>
  <c r="R93" i="1" s="1"/>
  <c r="AJ6" i="7"/>
  <c r="AK6" i="7" s="1"/>
  <c r="AJ5" i="7"/>
  <c r="AK5" i="7" s="1"/>
  <c r="AH4" i="7"/>
  <c r="AE6" i="7"/>
  <c r="AG5" i="7"/>
  <c r="AH5" i="7" s="1"/>
  <c r="AI6" i="7"/>
  <c r="AC6" i="7"/>
  <c r="M6" i="7"/>
  <c r="N6" i="7" s="1"/>
  <c r="E6" i="7"/>
  <c r="AI5" i="7"/>
  <c r="AC5" i="7"/>
  <c r="Z5" i="7"/>
  <c r="Z6" i="7" s="1"/>
  <c r="M5" i="7"/>
  <c r="N5" i="7" s="1"/>
  <c r="E5" i="7"/>
  <c r="A5" i="7"/>
  <c r="AK4" i="7"/>
  <c r="AI4" i="7"/>
  <c r="AC4" i="7"/>
  <c r="E4" i="7"/>
  <c r="AM91" i="1"/>
  <c r="AG91" i="1"/>
  <c r="AK91" i="1"/>
  <c r="AT91" i="1"/>
  <c r="AS91" i="1"/>
  <c r="AR91" i="1"/>
  <c r="AQ91" i="1"/>
  <c r="AP91" i="1"/>
  <c r="AO91" i="1"/>
  <c r="Q91" i="1"/>
  <c r="R91" i="1" s="1"/>
  <c r="H91" i="1"/>
  <c r="AQ48" i="2"/>
  <c r="AP48" i="2"/>
  <c r="AO48" i="2"/>
  <c r="AN48" i="2"/>
  <c r="AM48" i="2"/>
  <c r="AL48" i="2"/>
  <c r="AK48" i="2"/>
  <c r="AI48" i="2"/>
  <c r="AG48" i="2"/>
  <c r="AF48" i="2"/>
  <c r="AC48" i="2"/>
  <c r="N48" i="2"/>
  <c r="E48" i="2"/>
  <c r="H90" i="1"/>
  <c r="AQ47" i="2"/>
  <c r="AI47" i="2"/>
  <c r="AF47" i="2"/>
  <c r="AC47" i="2"/>
  <c r="AG47" i="2"/>
  <c r="AP47" i="2"/>
  <c r="AO47" i="2"/>
  <c r="AN47" i="2"/>
  <c r="AM47" i="2"/>
  <c r="AL47" i="2"/>
  <c r="AK47" i="2"/>
  <c r="E47" i="2"/>
  <c r="Q90" i="1"/>
  <c r="R90" i="1" s="1"/>
  <c r="AE90" i="1"/>
  <c r="AT90" i="1"/>
  <c r="AS90" i="1"/>
  <c r="AR90" i="1"/>
  <c r="AQ90" i="1"/>
  <c r="AP90" i="1"/>
  <c r="AO90" i="1"/>
  <c r="AM90" i="1"/>
  <c r="AG90" i="1"/>
  <c r="AK90" i="1"/>
  <c r="AI46" i="2"/>
  <c r="AE46" i="2"/>
  <c r="AF46" i="2" s="1"/>
  <c r="AC46" i="2"/>
  <c r="AG46" i="2"/>
  <c r="AQ46" i="2"/>
  <c r="AP46" i="2"/>
  <c r="AO46" i="2"/>
  <c r="AN46" i="2"/>
  <c r="AM46" i="2"/>
  <c r="AL46" i="2"/>
  <c r="AK46" i="2"/>
  <c r="N46" i="2"/>
  <c r="E46" i="2"/>
  <c r="AM89" i="1"/>
  <c r="AG89" i="1"/>
  <c r="AK89" i="1"/>
  <c r="AE89" i="1"/>
  <c r="AT89" i="1"/>
  <c r="AS89" i="1"/>
  <c r="AR89" i="1"/>
  <c r="AQ89" i="1"/>
  <c r="AP89" i="1"/>
  <c r="AO89" i="1"/>
  <c r="Q89" i="1"/>
  <c r="R89" i="1" s="1"/>
  <c r="H89" i="1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C45" i="2"/>
  <c r="AC44" i="2"/>
  <c r="AC43" i="2"/>
  <c r="AC42" i="2"/>
  <c r="AC41" i="2"/>
  <c r="AC40" i="2"/>
  <c r="AC39" i="2"/>
  <c r="AC38" i="2"/>
  <c r="AC37" i="2"/>
  <c r="AC36" i="2"/>
  <c r="AC35" i="2"/>
  <c r="AC34" i="2"/>
  <c r="AC33" i="2"/>
  <c r="AC32" i="2"/>
  <c r="AC31" i="2"/>
  <c r="AC30" i="2"/>
  <c r="AC29" i="2"/>
  <c r="AC28" i="2"/>
  <c r="AG45" i="2"/>
  <c r="AG44" i="2"/>
  <c r="AG43" i="2"/>
  <c r="AG42" i="2"/>
  <c r="AG41" i="2"/>
  <c r="AG40" i="2"/>
  <c r="AG39" i="2"/>
  <c r="AG38" i="2"/>
  <c r="AG37" i="2"/>
  <c r="AG36" i="2"/>
  <c r="AG35" i="2"/>
  <c r="AG34" i="2"/>
  <c r="AG33" i="2"/>
  <c r="AG32" i="2"/>
  <c r="AG31" i="2"/>
  <c r="AG30" i="2"/>
  <c r="AG29" i="2"/>
  <c r="AG28" i="2"/>
  <c r="AF45" i="2"/>
  <c r="AF44" i="2"/>
  <c r="AF43" i="2"/>
  <c r="AF42" i="2"/>
  <c r="AF41" i="2"/>
  <c r="AF40" i="2"/>
  <c r="AF39" i="2"/>
  <c r="AF38" i="2"/>
  <c r="AF37" i="2"/>
  <c r="AF36" i="2"/>
  <c r="AF35" i="2"/>
  <c r="AF34" i="2"/>
  <c r="AF33" i="2"/>
  <c r="AF32" i="2"/>
  <c r="AF31" i="2"/>
  <c r="AF30" i="2"/>
  <c r="AF29" i="2"/>
  <c r="AF28" i="2"/>
  <c r="AF27" i="2"/>
  <c r="AC27" i="2"/>
  <c r="AG27" i="2"/>
  <c r="Z27" i="2"/>
  <c r="AA27" i="2" s="1"/>
  <c r="Z5" i="2"/>
  <c r="AC26" i="2"/>
  <c r="AC25" i="2"/>
  <c r="AC24" i="2"/>
  <c r="AC23" i="2"/>
  <c r="AC22" i="2"/>
  <c r="AC21" i="2"/>
  <c r="AC20" i="2"/>
  <c r="AC19" i="2"/>
  <c r="AC18" i="2"/>
  <c r="AC17" i="2"/>
  <c r="AC16" i="2"/>
  <c r="AC15" i="2"/>
  <c r="AC14" i="2"/>
  <c r="AC13" i="2"/>
  <c r="AC12" i="2"/>
  <c r="AC11" i="2"/>
  <c r="AC10" i="2"/>
  <c r="AC9" i="2"/>
  <c r="AC8" i="2"/>
  <c r="AC7" i="2"/>
  <c r="AC6" i="2"/>
  <c r="AC5" i="2"/>
  <c r="AA26" i="2"/>
  <c r="N6" i="2"/>
  <c r="AM45" i="2"/>
  <c r="AL45" i="2"/>
  <c r="AQ44" i="2"/>
  <c r="AP44" i="2"/>
  <c r="AO44" i="2"/>
  <c r="AN44" i="2"/>
  <c r="AM44" i="2"/>
  <c r="AL44" i="2"/>
  <c r="AK44" i="2"/>
  <c r="AQ43" i="2"/>
  <c r="AP43" i="2"/>
  <c r="AO43" i="2"/>
  <c r="AN43" i="2"/>
  <c r="AM43" i="2"/>
  <c r="AL43" i="2"/>
  <c r="AK43" i="2"/>
  <c r="AQ42" i="2"/>
  <c r="AP42" i="2"/>
  <c r="AO42" i="2"/>
  <c r="AN42" i="2"/>
  <c r="AM42" i="2"/>
  <c r="AL42" i="2"/>
  <c r="AK42" i="2"/>
  <c r="AQ41" i="2"/>
  <c r="AP41" i="2"/>
  <c r="AO41" i="2"/>
  <c r="AN41" i="2"/>
  <c r="AM41" i="2"/>
  <c r="AL41" i="2"/>
  <c r="AK41" i="2"/>
  <c r="AQ40" i="2"/>
  <c r="AP40" i="2"/>
  <c r="AO40" i="2"/>
  <c r="AN40" i="2"/>
  <c r="AM40" i="2"/>
  <c r="AL40" i="2"/>
  <c r="AK40" i="2"/>
  <c r="AQ39" i="2"/>
  <c r="AP39" i="2"/>
  <c r="AO39" i="2"/>
  <c r="AN39" i="2"/>
  <c r="AM39" i="2"/>
  <c r="AL39" i="2"/>
  <c r="AK39" i="2"/>
  <c r="AQ38" i="2"/>
  <c r="AP38" i="2"/>
  <c r="AO38" i="2"/>
  <c r="AN38" i="2"/>
  <c r="AM38" i="2"/>
  <c r="AL38" i="2"/>
  <c r="AK38" i="2"/>
  <c r="AQ37" i="2"/>
  <c r="AP37" i="2"/>
  <c r="AO37" i="2"/>
  <c r="AN37" i="2"/>
  <c r="AM37" i="2"/>
  <c r="AL37" i="2"/>
  <c r="AK37" i="2"/>
  <c r="AQ36" i="2"/>
  <c r="AP36" i="2"/>
  <c r="AO36" i="2"/>
  <c r="AN36" i="2"/>
  <c r="AM36" i="2"/>
  <c r="AL36" i="2"/>
  <c r="AK36" i="2"/>
  <c r="AQ35" i="2"/>
  <c r="AP35" i="2"/>
  <c r="AO35" i="2"/>
  <c r="AN35" i="2"/>
  <c r="AM35" i="2"/>
  <c r="AL35" i="2"/>
  <c r="AK35" i="2"/>
  <c r="AQ34" i="2"/>
  <c r="AP34" i="2"/>
  <c r="AO34" i="2"/>
  <c r="AN34" i="2"/>
  <c r="AM34" i="2"/>
  <c r="AL34" i="2"/>
  <c r="AK34" i="2"/>
  <c r="AQ33" i="2"/>
  <c r="AP33" i="2"/>
  <c r="AO33" i="2"/>
  <c r="AN33" i="2"/>
  <c r="AM33" i="2"/>
  <c r="AL33" i="2"/>
  <c r="AK33" i="2"/>
  <c r="AP32" i="2"/>
  <c r="AO32" i="2"/>
  <c r="AN32" i="2"/>
  <c r="AM32" i="2"/>
  <c r="AL32" i="2"/>
  <c r="AK32" i="2"/>
  <c r="AQ31" i="2"/>
  <c r="AP31" i="2"/>
  <c r="AO31" i="2"/>
  <c r="AN31" i="2"/>
  <c r="AM31" i="2"/>
  <c r="AL31" i="2"/>
  <c r="AK31" i="2"/>
  <c r="AQ30" i="2"/>
  <c r="AP30" i="2"/>
  <c r="AO30" i="2"/>
  <c r="AN30" i="2"/>
  <c r="AM30" i="2"/>
  <c r="AL30" i="2"/>
  <c r="AK30" i="2"/>
  <c r="AQ29" i="2"/>
  <c r="AP29" i="2"/>
  <c r="AO29" i="2"/>
  <c r="AN29" i="2"/>
  <c r="AM29" i="2"/>
  <c r="AL29" i="2"/>
  <c r="AK29" i="2"/>
  <c r="AQ28" i="2"/>
  <c r="AP28" i="2"/>
  <c r="AO28" i="2"/>
  <c r="AN28" i="2"/>
  <c r="AM28" i="2"/>
  <c r="AL28" i="2"/>
  <c r="AK28" i="2"/>
  <c r="AQ27" i="2"/>
  <c r="AP27" i="2"/>
  <c r="AO27" i="2"/>
  <c r="AN27" i="2"/>
  <c r="AM27" i="2"/>
  <c r="AL27" i="2"/>
  <c r="AK27" i="2"/>
  <c r="AQ26" i="2"/>
  <c r="AP26" i="2"/>
  <c r="AO26" i="2"/>
  <c r="AN26" i="2"/>
  <c r="AM26" i="2"/>
  <c r="AL26" i="2"/>
  <c r="AK26" i="2"/>
  <c r="AQ25" i="2"/>
  <c r="AP25" i="2"/>
  <c r="AO25" i="2"/>
  <c r="AN25" i="2"/>
  <c r="AM25" i="2"/>
  <c r="AL25" i="2"/>
  <c r="AK25" i="2"/>
  <c r="AQ24" i="2"/>
  <c r="AP24" i="2"/>
  <c r="AO24" i="2"/>
  <c r="AN24" i="2"/>
  <c r="AM24" i="2"/>
  <c r="AL24" i="2"/>
  <c r="AK24" i="2"/>
  <c r="AQ23" i="2"/>
  <c r="AP23" i="2"/>
  <c r="AO23" i="2"/>
  <c r="AN23" i="2"/>
  <c r="AM23" i="2"/>
  <c r="AL23" i="2"/>
  <c r="AK23" i="2"/>
  <c r="AQ22" i="2"/>
  <c r="AP22" i="2"/>
  <c r="AO22" i="2"/>
  <c r="AN22" i="2"/>
  <c r="AM22" i="2"/>
  <c r="AL22" i="2"/>
  <c r="AK22" i="2"/>
  <c r="AQ21" i="2"/>
  <c r="AP21" i="2"/>
  <c r="AO21" i="2"/>
  <c r="AN21" i="2"/>
  <c r="AM21" i="2"/>
  <c r="AL21" i="2"/>
  <c r="AK21" i="2"/>
  <c r="AQ20" i="2"/>
  <c r="AP20" i="2"/>
  <c r="AO20" i="2"/>
  <c r="AN20" i="2"/>
  <c r="AM20" i="2"/>
  <c r="AL20" i="2"/>
  <c r="AK20" i="2"/>
  <c r="AQ19" i="2"/>
  <c r="AP19" i="2"/>
  <c r="AO19" i="2"/>
  <c r="AN19" i="2"/>
  <c r="AM19" i="2"/>
  <c r="AL19" i="2"/>
  <c r="AK19" i="2"/>
  <c r="AQ18" i="2"/>
  <c r="AP18" i="2"/>
  <c r="AO18" i="2"/>
  <c r="AN18" i="2"/>
  <c r="AM18" i="2"/>
  <c r="AL18" i="2"/>
  <c r="AK18" i="2"/>
  <c r="AQ17" i="2"/>
  <c r="AP17" i="2"/>
  <c r="AO17" i="2"/>
  <c r="AN17" i="2"/>
  <c r="AM17" i="2"/>
  <c r="AL17" i="2"/>
  <c r="AK17" i="2"/>
  <c r="AQ16" i="2"/>
  <c r="AP16" i="2"/>
  <c r="AO16" i="2"/>
  <c r="AN16" i="2"/>
  <c r="AM16" i="2"/>
  <c r="AL16" i="2"/>
  <c r="AK16" i="2"/>
  <c r="AQ15" i="2"/>
  <c r="AP15" i="2"/>
  <c r="AO15" i="2"/>
  <c r="AN15" i="2"/>
  <c r="AM15" i="2"/>
  <c r="AL15" i="2"/>
  <c r="AK15" i="2"/>
  <c r="AQ14" i="2"/>
  <c r="AP14" i="2"/>
  <c r="AO14" i="2"/>
  <c r="AN14" i="2"/>
  <c r="AM14" i="2"/>
  <c r="AL14" i="2"/>
  <c r="AK14" i="2"/>
  <c r="AQ13" i="2"/>
  <c r="AP13" i="2"/>
  <c r="AO13" i="2"/>
  <c r="AN13" i="2"/>
  <c r="AM13" i="2"/>
  <c r="AL13" i="2"/>
  <c r="AK13" i="2"/>
  <c r="AQ12" i="2"/>
  <c r="AP12" i="2"/>
  <c r="AO12" i="2"/>
  <c r="AN12" i="2"/>
  <c r="AM12" i="2"/>
  <c r="AL12" i="2"/>
  <c r="AK12" i="2"/>
  <c r="AQ11" i="2"/>
  <c r="AP11" i="2"/>
  <c r="AO11" i="2"/>
  <c r="AN11" i="2"/>
  <c r="AM11" i="2"/>
  <c r="AL11" i="2"/>
  <c r="AK11" i="2"/>
  <c r="AQ10" i="2"/>
  <c r="AP10" i="2"/>
  <c r="AO10" i="2"/>
  <c r="AN10" i="2"/>
  <c r="AM10" i="2"/>
  <c r="AL10" i="2"/>
  <c r="AK10" i="2"/>
  <c r="AQ9" i="2"/>
  <c r="AP9" i="2"/>
  <c r="AO9" i="2"/>
  <c r="AN9" i="2"/>
  <c r="AM9" i="2"/>
  <c r="AL9" i="2"/>
  <c r="AK9" i="2"/>
  <c r="AQ8" i="2"/>
  <c r="AP8" i="2"/>
  <c r="AO8" i="2"/>
  <c r="AN8" i="2"/>
  <c r="AM8" i="2"/>
  <c r="AL8" i="2"/>
  <c r="AK8" i="2"/>
  <c r="AQ7" i="2"/>
  <c r="AP7" i="2"/>
  <c r="AO7" i="2"/>
  <c r="AN7" i="2"/>
  <c r="AM7" i="2"/>
  <c r="AL7" i="2"/>
  <c r="AK7" i="2"/>
  <c r="AQ6" i="2"/>
  <c r="AP6" i="2"/>
  <c r="AO6" i="2"/>
  <c r="AN6" i="2"/>
  <c r="AM6" i="2"/>
  <c r="AL6" i="2"/>
  <c r="AK6" i="2"/>
  <c r="AQ5" i="2"/>
  <c r="AP5" i="2"/>
  <c r="AO5" i="2"/>
  <c r="AN5" i="2"/>
  <c r="AM5" i="2"/>
  <c r="AL5" i="2"/>
  <c r="AK5" i="2"/>
  <c r="AQ4" i="2"/>
  <c r="AP4" i="2"/>
  <c r="AO4" i="2"/>
  <c r="AN4" i="2"/>
  <c r="AM4" i="2"/>
  <c r="AL4" i="2"/>
  <c r="AK4" i="2"/>
  <c r="AQ45" i="2"/>
  <c r="AP45" i="2"/>
  <c r="AO45" i="2"/>
  <c r="AN45" i="2"/>
  <c r="AK45" i="2"/>
  <c r="C81" i="1"/>
  <c r="C82" i="1" s="1"/>
  <c r="N45" i="2"/>
  <c r="E45" i="2"/>
  <c r="N44" i="2"/>
  <c r="E44" i="2"/>
  <c r="N43" i="2"/>
  <c r="E43" i="2"/>
  <c r="N42" i="2"/>
  <c r="E42" i="2"/>
  <c r="N41" i="2"/>
  <c r="E41" i="2"/>
  <c r="N40" i="2"/>
  <c r="E40" i="2"/>
  <c r="N39" i="2"/>
  <c r="E39" i="2"/>
  <c r="N38" i="2"/>
  <c r="E38" i="2"/>
  <c r="N37" i="2"/>
  <c r="E37" i="2"/>
  <c r="N36" i="2"/>
  <c r="E36" i="2"/>
  <c r="N35" i="2"/>
  <c r="E35" i="2"/>
  <c r="N34" i="2"/>
  <c r="E34" i="2"/>
  <c r="N33" i="2"/>
  <c r="E33" i="2"/>
  <c r="Q88" i="1"/>
  <c r="R88" i="1" s="1"/>
  <c r="Q87" i="1"/>
  <c r="R87" i="1" s="1"/>
  <c r="Q86" i="1"/>
  <c r="R86" i="1" s="1"/>
  <c r="Q85" i="1"/>
  <c r="R85" i="1" s="1"/>
  <c r="Q84" i="1"/>
  <c r="R84" i="1" s="1"/>
  <c r="Q83" i="1"/>
  <c r="R83" i="1" s="1"/>
  <c r="Q82" i="1"/>
  <c r="R82" i="1" s="1"/>
  <c r="Q81" i="1"/>
  <c r="R81" i="1" s="1"/>
  <c r="Q80" i="1"/>
  <c r="R80" i="1" s="1"/>
  <c r="Q79" i="1"/>
  <c r="R79" i="1" s="1"/>
  <c r="Q78" i="1"/>
  <c r="R78" i="1" s="1"/>
  <c r="Q77" i="1"/>
  <c r="R77" i="1" s="1"/>
  <c r="Q76" i="1"/>
  <c r="R76" i="1" s="1"/>
  <c r="Q75" i="1"/>
  <c r="R75" i="1" s="1"/>
  <c r="Q74" i="1"/>
  <c r="R74" i="1" s="1"/>
  <c r="Q73" i="1"/>
  <c r="R73" i="1" s="1"/>
  <c r="Q72" i="1"/>
  <c r="R72" i="1" s="1"/>
  <c r="Q71" i="1"/>
  <c r="R71" i="1" s="1"/>
  <c r="AG79" i="1"/>
  <c r="AD86" i="1"/>
  <c r="AK86" i="1"/>
  <c r="AE87" i="1"/>
  <c r="AT84" i="1"/>
  <c r="AS84" i="1"/>
  <c r="AR84" i="1"/>
  <c r="AQ84" i="1"/>
  <c r="AP84" i="1"/>
  <c r="AO84" i="1"/>
  <c r="AT83" i="1"/>
  <c r="AS83" i="1"/>
  <c r="AR83" i="1"/>
  <c r="AQ83" i="1"/>
  <c r="AP83" i="1"/>
  <c r="AO83" i="1"/>
  <c r="AT82" i="1"/>
  <c r="AS82" i="1"/>
  <c r="AR82" i="1"/>
  <c r="AQ82" i="1"/>
  <c r="AP82" i="1"/>
  <c r="AO82" i="1"/>
  <c r="AT81" i="1"/>
  <c r="AS81" i="1"/>
  <c r="AR81" i="1"/>
  <c r="AQ81" i="1"/>
  <c r="AP81" i="1"/>
  <c r="AO81" i="1"/>
  <c r="AT80" i="1"/>
  <c r="AS80" i="1"/>
  <c r="AR80" i="1"/>
  <c r="AQ80" i="1"/>
  <c r="AP80" i="1"/>
  <c r="AO80" i="1"/>
  <c r="AT88" i="1"/>
  <c r="AS88" i="1"/>
  <c r="AR88" i="1"/>
  <c r="AQ88" i="1"/>
  <c r="AP88" i="1"/>
  <c r="AO88" i="1"/>
  <c r="AT87" i="1"/>
  <c r="AS87" i="1"/>
  <c r="AR87" i="1"/>
  <c r="AQ87" i="1"/>
  <c r="AP87" i="1"/>
  <c r="AO87" i="1"/>
  <c r="AT86" i="1"/>
  <c r="AS86" i="1"/>
  <c r="AR86" i="1"/>
  <c r="AQ86" i="1"/>
  <c r="AP86" i="1"/>
  <c r="AO86" i="1"/>
  <c r="AM88" i="1"/>
  <c r="AM87" i="1"/>
  <c r="AM86" i="1"/>
  <c r="AK88" i="1"/>
  <c r="AK87" i="1"/>
  <c r="AG88" i="1"/>
  <c r="AG87" i="1"/>
  <c r="AG86" i="1"/>
  <c r="AE88" i="1"/>
  <c r="H88" i="1"/>
  <c r="H87" i="1"/>
  <c r="H86" i="1"/>
  <c r="AT79" i="1"/>
  <c r="AS79" i="1"/>
  <c r="AR79" i="1"/>
  <c r="AQ79" i="1"/>
  <c r="AP79" i="1"/>
  <c r="AO79" i="1"/>
  <c r="AG78" i="1"/>
  <c r="AD78" i="1"/>
  <c r="AT78" i="1"/>
  <c r="AS78" i="1"/>
  <c r="AR78" i="1"/>
  <c r="AQ78" i="1"/>
  <c r="AP78" i="1"/>
  <c r="AO78" i="1"/>
  <c r="AM79" i="1"/>
  <c r="AM78" i="1"/>
  <c r="AK79" i="1"/>
  <c r="AK78" i="1"/>
  <c r="AM80" i="1"/>
  <c r="AK80" i="1"/>
  <c r="AG80" i="1"/>
  <c r="AM81" i="1"/>
  <c r="AK81" i="1"/>
  <c r="AG81" i="1"/>
  <c r="P78" i="1"/>
  <c r="P79" i="1"/>
  <c r="P80" i="1"/>
  <c r="P81" i="1"/>
  <c r="P82" i="1"/>
  <c r="H82" i="1" s="1"/>
  <c r="AE82" i="1"/>
  <c r="AE81" i="1"/>
  <c r="AE80" i="1"/>
  <c r="AE79" i="1"/>
  <c r="AE83" i="1"/>
  <c r="AM82" i="1"/>
  <c r="AM83" i="1"/>
  <c r="AK83" i="1"/>
  <c r="AK82" i="1"/>
  <c r="AG82" i="1"/>
  <c r="AG83" i="1"/>
  <c r="P83" i="1"/>
  <c r="AE84" i="1"/>
  <c r="AM84" i="1"/>
  <c r="AK84" i="1"/>
  <c r="AG84" i="1"/>
  <c r="P84" i="1"/>
  <c r="AT85" i="1"/>
  <c r="AS85" i="1"/>
  <c r="AR85" i="1"/>
  <c r="AQ85" i="1"/>
  <c r="AP85" i="1"/>
  <c r="AO85" i="1"/>
  <c r="AM85" i="1"/>
  <c r="AK85" i="1"/>
  <c r="AG85" i="1"/>
  <c r="AE85" i="1"/>
  <c r="P85" i="1"/>
  <c r="H85" i="1" s="1"/>
  <c r="H76" i="1"/>
  <c r="AM75" i="1"/>
  <c r="AG75" i="1"/>
  <c r="AK75" i="1"/>
  <c r="AE75" i="1"/>
  <c r="AT75" i="1"/>
  <c r="AS75" i="1"/>
  <c r="AR75" i="1"/>
  <c r="AQ75" i="1"/>
  <c r="AP75" i="1"/>
  <c r="AO75" i="1"/>
  <c r="H75" i="1"/>
  <c r="AM74" i="1"/>
  <c r="AG74" i="1"/>
  <c r="AK74" i="1"/>
  <c r="AE74" i="1"/>
  <c r="AT74" i="1"/>
  <c r="AS74" i="1"/>
  <c r="AR74" i="1"/>
  <c r="AQ74" i="1"/>
  <c r="AP74" i="1"/>
  <c r="AO74" i="1"/>
  <c r="H74" i="1"/>
  <c r="AM73" i="1"/>
  <c r="AG73" i="1"/>
  <c r="AK73" i="1"/>
  <c r="AE73" i="1"/>
  <c r="AT73" i="1"/>
  <c r="AS73" i="1"/>
  <c r="AR73" i="1"/>
  <c r="AQ73" i="1"/>
  <c r="AP73" i="1"/>
  <c r="AO73" i="1"/>
  <c r="H73" i="1"/>
  <c r="H72" i="1"/>
  <c r="H71" i="1"/>
  <c r="AM77" i="1"/>
  <c r="AM76" i="1"/>
  <c r="AM72" i="1"/>
  <c r="AM71" i="1"/>
  <c r="AM70" i="1"/>
  <c r="AG72" i="1"/>
  <c r="AK72" i="1"/>
  <c r="AE72" i="1"/>
  <c r="AT72" i="1"/>
  <c r="AS72" i="1"/>
  <c r="AR72" i="1"/>
  <c r="AQ72" i="1"/>
  <c r="AP72" i="1"/>
  <c r="AO72" i="1"/>
  <c r="AG71" i="1"/>
  <c r="AK71" i="1"/>
  <c r="AE71" i="1"/>
  <c r="AT71" i="1"/>
  <c r="AS71" i="1"/>
  <c r="AR71" i="1"/>
  <c r="AQ71" i="1"/>
  <c r="AP71" i="1"/>
  <c r="AO71" i="1"/>
  <c r="AT70" i="1"/>
  <c r="AS70" i="1"/>
  <c r="AR70" i="1"/>
  <c r="AQ70" i="1"/>
  <c r="AP70" i="1"/>
  <c r="AO70" i="1"/>
  <c r="AK70" i="1"/>
  <c r="AG70" i="1"/>
  <c r="AE70" i="1"/>
  <c r="H70" i="1"/>
  <c r="Q70" i="1" s="1"/>
  <c r="R70" i="1" s="1"/>
  <c r="AE76" i="1"/>
  <c r="AT77" i="1"/>
  <c r="AS77" i="1"/>
  <c r="AR77" i="1"/>
  <c r="AQ77" i="1"/>
  <c r="AP77" i="1"/>
  <c r="AO77" i="1"/>
  <c r="AT76" i="1"/>
  <c r="AS76" i="1"/>
  <c r="AR76" i="1"/>
  <c r="AQ76" i="1"/>
  <c r="AP76" i="1"/>
  <c r="AO76" i="1"/>
  <c r="AG77" i="1"/>
  <c r="AG76" i="1"/>
  <c r="AK77" i="1"/>
  <c r="AK76" i="1"/>
  <c r="AE77" i="1"/>
  <c r="P77" i="1"/>
  <c r="H77" i="1" s="1"/>
  <c r="AQ32" i="2"/>
  <c r="E32" i="2"/>
  <c r="E31" i="2"/>
  <c r="E30" i="2"/>
  <c r="E29" i="2"/>
  <c r="E28" i="2"/>
  <c r="E27" i="2"/>
  <c r="N32" i="2"/>
  <c r="N31" i="2"/>
  <c r="N30" i="2"/>
  <c r="N29" i="2"/>
  <c r="N28" i="2"/>
  <c r="N27" i="2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T69" i="1"/>
  <c r="AS69" i="1"/>
  <c r="AR69" i="1"/>
  <c r="AQ69" i="1"/>
  <c r="AP69" i="1"/>
  <c r="AO69" i="1"/>
  <c r="AT68" i="1"/>
  <c r="AS68" i="1"/>
  <c r="AR68" i="1"/>
  <c r="AQ68" i="1"/>
  <c r="AP68" i="1"/>
  <c r="AO68" i="1"/>
  <c r="AT67" i="1"/>
  <c r="AS67" i="1"/>
  <c r="AR67" i="1"/>
  <c r="AQ67" i="1"/>
  <c r="AP67" i="1"/>
  <c r="AO67" i="1"/>
  <c r="AT66" i="1"/>
  <c r="AS66" i="1"/>
  <c r="AR66" i="1"/>
  <c r="AQ66" i="1"/>
  <c r="AP66" i="1"/>
  <c r="AO66" i="1"/>
  <c r="AT65" i="1"/>
  <c r="AS65" i="1"/>
  <c r="AR65" i="1"/>
  <c r="AQ65" i="1"/>
  <c r="AP65" i="1"/>
  <c r="AO65" i="1"/>
  <c r="AT64" i="1"/>
  <c r="AS64" i="1"/>
  <c r="AR64" i="1"/>
  <c r="AQ64" i="1"/>
  <c r="AP64" i="1"/>
  <c r="AO64" i="1"/>
  <c r="AT63" i="1"/>
  <c r="AS63" i="1"/>
  <c r="AR63" i="1"/>
  <c r="AQ63" i="1"/>
  <c r="AP63" i="1"/>
  <c r="AO63" i="1"/>
  <c r="AT62" i="1"/>
  <c r="AS62" i="1"/>
  <c r="AR62" i="1"/>
  <c r="AQ62" i="1"/>
  <c r="AP62" i="1"/>
  <c r="AO62" i="1"/>
  <c r="AT61" i="1"/>
  <c r="AS61" i="1"/>
  <c r="AR61" i="1"/>
  <c r="AQ61" i="1"/>
  <c r="AP61" i="1"/>
  <c r="AO61" i="1"/>
  <c r="AT60" i="1"/>
  <c r="AS60" i="1"/>
  <c r="AR60" i="1"/>
  <c r="AQ60" i="1"/>
  <c r="AP60" i="1"/>
  <c r="AO60" i="1"/>
  <c r="AT59" i="1"/>
  <c r="AS59" i="1"/>
  <c r="AR59" i="1"/>
  <c r="AQ59" i="1"/>
  <c r="AP59" i="1"/>
  <c r="AO59" i="1"/>
  <c r="AT58" i="1"/>
  <c r="AS58" i="1"/>
  <c r="AR58" i="1"/>
  <c r="AQ58" i="1"/>
  <c r="AP58" i="1"/>
  <c r="AO58" i="1"/>
  <c r="AT57" i="1"/>
  <c r="AS57" i="1"/>
  <c r="AR57" i="1"/>
  <c r="AQ57" i="1"/>
  <c r="AP57" i="1"/>
  <c r="AO57" i="1"/>
  <c r="AT56" i="1"/>
  <c r="AS56" i="1"/>
  <c r="AR56" i="1"/>
  <c r="AQ56" i="1"/>
  <c r="AP56" i="1"/>
  <c r="AO56" i="1"/>
  <c r="AT55" i="1"/>
  <c r="AS55" i="1"/>
  <c r="AR55" i="1"/>
  <c r="AQ55" i="1"/>
  <c r="AP55" i="1"/>
  <c r="AO55" i="1"/>
  <c r="AT54" i="1"/>
  <c r="AS54" i="1"/>
  <c r="AR54" i="1"/>
  <c r="AQ54" i="1"/>
  <c r="AP54" i="1"/>
  <c r="AO54" i="1"/>
  <c r="AT53" i="1"/>
  <c r="AS53" i="1"/>
  <c r="AR53" i="1"/>
  <c r="AQ53" i="1"/>
  <c r="AP53" i="1"/>
  <c r="AO53" i="1"/>
  <c r="AT52" i="1"/>
  <c r="AS52" i="1"/>
  <c r="AR52" i="1"/>
  <c r="AQ52" i="1"/>
  <c r="AP52" i="1"/>
  <c r="AO52" i="1"/>
  <c r="AT51" i="1"/>
  <c r="AS51" i="1"/>
  <c r="AR51" i="1"/>
  <c r="AQ51" i="1"/>
  <c r="AP51" i="1"/>
  <c r="AO51" i="1"/>
  <c r="AT50" i="1"/>
  <c r="AS50" i="1"/>
  <c r="AR50" i="1"/>
  <c r="AQ50" i="1"/>
  <c r="AP50" i="1"/>
  <c r="AO50" i="1"/>
  <c r="AT49" i="1"/>
  <c r="AS49" i="1"/>
  <c r="AR49" i="1"/>
  <c r="AQ49" i="1"/>
  <c r="AP49" i="1"/>
  <c r="AO49" i="1"/>
  <c r="AT48" i="1"/>
  <c r="AS48" i="1"/>
  <c r="AR48" i="1"/>
  <c r="AQ48" i="1"/>
  <c r="AP48" i="1"/>
  <c r="AO48" i="1"/>
  <c r="AT47" i="1"/>
  <c r="AS47" i="1"/>
  <c r="AR47" i="1"/>
  <c r="AQ47" i="1"/>
  <c r="AP47" i="1"/>
  <c r="AO47" i="1"/>
  <c r="AT46" i="1"/>
  <c r="AS46" i="1"/>
  <c r="AR46" i="1"/>
  <c r="AQ46" i="1"/>
  <c r="AP46" i="1"/>
  <c r="AO46" i="1"/>
  <c r="AT45" i="1"/>
  <c r="AS45" i="1"/>
  <c r="AR45" i="1"/>
  <c r="AQ45" i="1"/>
  <c r="AP45" i="1"/>
  <c r="AO45" i="1"/>
  <c r="AT44" i="1"/>
  <c r="AS44" i="1"/>
  <c r="AR44" i="1"/>
  <c r="AQ44" i="1"/>
  <c r="AP44" i="1"/>
  <c r="AO44" i="1"/>
  <c r="AT43" i="1"/>
  <c r="AS43" i="1"/>
  <c r="AR43" i="1"/>
  <c r="AQ43" i="1"/>
  <c r="AP43" i="1"/>
  <c r="AO43" i="1"/>
  <c r="AT42" i="1"/>
  <c r="AS42" i="1"/>
  <c r="AR42" i="1"/>
  <c r="AQ42" i="1"/>
  <c r="AP42" i="1"/>
  <c r="AO42" i="1"/>
  <c r="AT41" i="1"/>
  <c r="AS41" i="1"/>
  <c r="AR41" i="1"/>
  <c r="AQ41" i="1"/>
  <c r="AP41" i="1"/>
  <c r="AO41" i="1"/>
  <c r="AT40" i="1"/>
  <c r="AS40" i="1"/>
  <c r="AR40" i="1"/>
  <c r="AQ40" i="1"/>
  <c r="AP40" i="1"/>
  <c r="AO40" i="1"/>
  <c r="AT39" i="1"/>
  <c r="AS39" i="1"/>
  <c r="AR39" i="1"/>
  <c r="AQ39" i="1"/>
  <c r="AP39" i="1"/>
  <c r="AO39" i="1"/>
  <c r="AT38" i="1"/>
  <c r="AS38" i="1"/>
  <c r="AR38" i="1"/>
  <c r="AQ38" i="1"/>
  <c r="AP38" i="1"/>
  <c r="AO38" i="1"/>
  <c r="AT37" i="1"/>
  <c r="AS37" i="1"/>
  <c r="AR37" i="1"/>
  <c r="AQ37" i="1"/>
  <c r="AP37" i="1"/>
  <c r="AO37" i="1"/>
  <c r="AT36" i="1"/>
  <c r="AS36" i="1"/>
  <c r="AR36" i="1"/>
  <c r="AQ36" i="1"/>
  <c r="AP36" i="1"/>
  <c r="AO36" i="1"/>
  <c r="AT35" i="1"/>
  <c r="AS35" i="1"/>
  <c r="AR35" i="1"/>
  <c r="AQ35" i="1"/>
  <c r="AP35" i="1"/>
  <c r="AO35" i="1"/>
  <c r="AT34" i="1"/>
  <c r="AS34" i="1"/>
  <c r="AR34" i="1"/>
  <c r="AQ34" i="1"/>
  <c r="AP34" i="1"/>
  <c r="AO34" i="1"/>
  <c r="AT33" i="1"/>
  <c r="AS33" i="1"/>
  <c r="AR33" i="1"/>
  <c r="AQ33" i="1"/>
  <c r="AP33" i="1"/>
  <c r="AO33" i="1"/>
  <c r="AT32" i="1"/>
  <c r="AS32" i="1"/>
  <c r="AR32" i="1"/>
  <c r="AQ32" i="1"/>
  <c r="AP32" i="1"/>
  <c r="AO32" i="1"/>
  <c r="AT31" i="1"/>
  <c r="AS31" i="1"/>
  <c r="AR31" i="1"/>
  <c r="AQ31" i="1"/>
  <c r="AP31" i="1"/>
  <c r="AO31" i="1"/>
  <c r="AT30" i="1"/>
  <c r="AS30" i="1"/>
  <c r="AR30" i="1"/>
  <c r="AQ30" i="1"/>
  <c r="AP30" i="1"/>
  <c r="AO30" i="1"/>
  <c r="AT29" i="1"/>
  <c r="AS29" i="1"/>
  <c r="AR29" i="1"/>
  <c r="AQ29" i="1"/>
  <c r="AP29" i="1"/>
  <c r="AO29" i="1"/>
  <c r="AT28" i="1"/>
  <c r="AS28" i="1"/>
  <c r="AR28" i="1"/>
  <c r="AQ28" i="1"/>
  <c r="AP28" i="1"/>
  <c r="AO28" i="1"/>
  <c r="AT27" i="1"/>
  <c r="AS27" i="1"/>
  <c r="AR27" i="1"/>
  <c r="AQ27" i="1"/>
  <c r="AP27" i="1"/>
  <c r="AO27" i="1"/>
  <c r="AT26" i="1"/>
  <c r="AS26" i="1"/>
  <c r="AR26" i="1"/>
  <c r="AQ26" i="1"/>
  <c r="AP26" i="1"/>
  <c r="AO26" i="1"/>
  <c r="AT25" i="1"/>
  <c r="AS25" i="1"/>
  <c r="AR25" i="1"/>
  <c r="AQ25" i="1"/>
  <c r="AP25" i="1"/>
  <c r="AO25" i="1"/>
  <c r="AT24" i="1"/>
  <c r="AS24" i="1"/>
  <c r="AR24" i="1"/>
  <c r="AQ24" i="1"/>
  <c r="AP24" i="1"/>
  <c r="AO24" i="1"/>
  <c r="AT23" i="1"/>
  <c r="AS23" i="1"/>
  <c r="AR23" i="1"/>
  <c r="AQ23" i="1"/>
  <c r="AP23" i="1"/>
  <c r="AO23" i="1"/>
  <c r="AT22" i="1"/>
  <c r="AS22" i="1"/>
  <c r="AR22" i="1"/>
  <c r="AQ22" i="1"/>
  <c r="AP22" i="1"/>
  <c r="AO22" i="1"/>
  <c r="AT21" i="1"/>
  <c r="AS21" i="1"/>
  <c r="AR21" i="1"/>
  <c r="AQ21" i="1"/>
  <c r="AP21" i="1"/>
  <c r="AO21" i="1"/>
  <c r="AT20" i="1"/>
  <c r="AS20" i="1"/>
  <c r="AR20" i="1"/>
  <c r="AQ20" i="1"/>
  <c r="AP20" i="1"/>
  <c r="AO20" i="1"/>
  <c r="AT19" i="1"/>
  <c r="AS19" i="1"/>
  <c r="AR19" i="1"/>
  <c r="AQ19" i="1"/>
  <c r="AP19" i="1"/>
  <c r="AO19" i="1"/>
  <c r="AT18" i="1"/>
  <c r="AS18" i="1"/>
  <c r="AR18" i="1"/>
  <c r="AQ18" i="1"/>
  <c r="AP18" i="1"/>
  <c r="AO18" i="1"/>
  <c r="AT17" i="1"/>
  <c r="AS17" i="1"/>
  <c r="AR17" i="1"/>
  <c r="AQ17" i="1"/>
  <c r="AP17" i="1"/>
  <c r="AO17" i="1"/>
  <c r="AT16" i="1"/>
  <c r="AS16" i="1"/>
  <c r="AR16" i="1"/>
  <c r="AQ16" i="1"/>
  <c r="AP16" i="1"/>
  <c r="AO16" i="1"/>
  <c r="AT15" i="1"/>
  <c r="AS15" i="1"/>
  <c r="AR15" i="1"/>
  <c r="AQ15" i="1"/>
  <c r="AP15" i="1"/>
  <c r="AO15" i="1"/>
  <c r="AT14" i="1"/>
  <c r="AS14" i="1"/>
  <c r="AR14" i="1"/>
  <c r="AQ14" i="1"/>
  <c r="AP14" i="1"/>
  <c r="AO14" i="1"/>
  <c r="AT13" i="1"/>
  <c r="AS13" i="1"/>
  <c r="AR13" i="1"/>
  <c r="AQ13" i="1"/>
  <c r="AP13" i="1"/>
  <c r="AO13" i="1"/>
  <c r="AT12" i="1"/>
  <c r="AS12" i="1"/>
  <c r="AR12" i="1"/>
  <c r="AQ12" i="1"/>
  <c r="AP12" i="1"/>
  <c r="AO12" i="1"/>
  <c r="AT11" i="1"/>
  <c r="AS11" i="1"/>
  <c r="AR11" i="1"/>
  <c r="AQ11" i="1"/>
  <c r="AP11" i="1"/>
  <c r="AO11" i="1"/>
  <c r="AT10" i="1"/>
  <c r="AS10" i="1"/>
  <c r="AR10" i="1"/>
  <c r="AQ10" i="1"/>
  <c r="AP10" i="1"/>
  <c r="AO10" i="1"/>
  <c r="AT9" i="1"/>
  <c r="AS9" i="1"/>
  <c r="AR9" i="1"/>
  <c r="AQ9" i="1"/>
  <c r="AP9" i="1"/>
  <c r="AO9" i="1"/>
  <c r="AT8" i="1"/>
  <c r="AS8" i="1"/>
  <c r="AR8" i="1"/>
  <c r="AQ8" i="1"/>
  <c r="AP8" i="1"/>
  <c r="AO8" i="1"/>
  <c r="AT7" i="1"/>
  <c r="AS7" i="1"/>
  <c r="AR7" i="1"/>
  <c r="AQ7" i="1"/>
  <c r="AP7" i="1"/>
  <c r="AO7" i="1"/>
  <c r="AT6" i="1"/>
  <c r="AS6" i="1"/>
  <c r="AR6" i="1"/>
  <c r="AQ6" i="1"/>
  <c r="AP6" i="1"/>
  <c r="AO6" i="1"/>
  <c r="AT5" i="1"/>
  <c r="AS5" i="1"/>
  <c r="AR5" i="1"/>
  <c r="AQ5" i="1"/>
  <c r="AP5" i="1"/>
  <c r="AO5" i="1"/>
  <c r="AM69" i="1"/>
  <c r="AK69" i="1"/>
  <c r="AG69" i="1"/>
  <c r="P69" i="1"/>
  <c r="AG26" i="2"/>
  <c r="AG25" i="2"/>
  <c r="AG24" i="2"/>
  <c r="AG23" i="2"/>
  <c r="AG22" i="2"/>
  <c r="AG21" i="2"/>
  <c r="AG20" i="2"/>
  <c r="AG19" i="2"/>
  <c r="AG18" i="2"/>
  <c r="AG17" i="2"/>
  <c r="AG16" i="2"/>
  <c r="AG15" i="2"/>
  <c r="AG14" i="2"/>
  <c r="AG13" i="2"/>
  <c r="AG12" i="2"/>
  <c r="AG11" i="2"/>
  <c r="AG10" i="2"/>
  <c r="AG9" i="2"/>
  <c r="AG8" i="2"/>
  <c r="AG7" i="2"/>
  <c r="AG6" i="2"/>
  <c r="AG5" i="2"/>
  <c r="AG4" i="2"/>
  <c r="AF26" i="2"/>
  <c r="AF25" i="2"/>
  <c r="AF24" i="2"/>
  <c r="AF23" i="2"/>
  <c r="AF22" i="2"/>
  <c r="AF21" i="2"/>
  <c r="AF20" i="2"/>
  <c r="AF19" i="2"/>
  <c r="AF18" i="2"/>
  <c r="AF17" i="2"/>
  <c r="AF16" i="2"/>
  <c r="AF15" i="2"/>
  <c r="AF14" i="2"/>
  <c r="AF13" i="2"/>
  <c r="AF12" i="2"/>
  <c r="AF11" i="2"/>
  <c r="AF10" i="2"/>
  <c r="AF9" i="2"/>
  <c r="AF8" i="2"/>
  <c r="AF7" i="2"/>
  <c r="AF6" i="2"/>
  <c r="AF5" i="2"/>
  <c r="AF4" i="2"/>
  <c r="AC4" i="2"/>
  <c r="N26" i="2"/>
  <c r="E26" i="2"/>
  <c r="N25" i="2"/>
  <c r="E25" i="2"/>
  <c r="N24" i="2"/>
  <c r="E24" i="2"/>
  <c r="N23" i="2"/>
  <c r="E23" i="2"/>
  <c r="N22" i="2"/>
  <c r="E22" i="2"/>
  <c r="N21" i="2"/>
  <c r="E21" i="2"/>
  <c r="N20" i="2"/>
  <c r="E20" i="2"/>
  <c r="N19" i="2"/>
  <c r="E19" i="2"/>
  <c r="N18" i="2"/>
  <c r="E18" i="2"/>
  <c r="N17" i="2"/>
  <c r="E17" i="2"/>
  <c r="N16" i="2"/>
  <c r="E16" i="2"/>
  <c r="N15" i="2"/>
  <c r="E15" i="2"/>
  <c r="N14" i="2"/>
  <c r="E14" i="2"/>
  <c r="N13" i="2"/>
  <c r="E13" i="2"/>
  <c r="N12" i="2"/>
  <c r="E12" i="2"/>
  <c r="N11" i="2"/>
  <c r="E11" i="2"/>
  <c r="N10" i="2"/>
  <c r="E10" i="2"/>
  <c r="N9" i="2"/>
  <c r="E9" i="2"/>
  <c r="N8" i="2"/>
  <c r="E8" i="2"/>
  <c r="N7" i="2"/>
  <c r="E7" i="2"/>
  <c r="E6" i="2"/>
  <c r="E5" i="2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E4" i="2"/>
  <c r="P67" i="1"/>
  <c r="F5" i="1"/>
  <c r="P66" i="1"/>
  <c r="H66" i="1" s="1"/>
  <c r="P65" i="1"/>
  <c r="H65" i="1" s="1"/>
  <c r="P64" i="1"/>
  <c r="P63" i="1"/>
  <c r="H63" i="1" s="1"/>
  <c r="P62" i="1"/>
  <c r="H62" i="1" s="1"/>
  <c r="P61" i="1"/>
  <c r="P60" i="1"/>
  <c r="P59" i="1"/>
  <c r="H59" i="1" s="1"/>
  <c r="P58" i="1"/>
  <c r="P57" i="1"/>
  <c r="H57" i="1" s="1"/>
  <c r="P56" i="1"/>
  <c r="H56" i="1" s="1"/>
  <c r="P55" i="1"/>
  <c r="P54" i="1"/>
  <c r="H54" i="1" s="1"/>
  <c r="P53" i="1"/>
  <c r="P52" i="1"/>
  <c r="P51" i="1"/>
  <c r="H51" i="1" s="1"/>
  <c r="AG51" i="1"/>
  <c r="AG50" i="1"/>
  <c r="AG49" i="1"/>
  <c r="AG48" i="1"/>
  <c r="AG47" i="1"/>
  <c r="AG37" i="1"/>
  <c r="AG66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46" i="1"/>
  <c r="AG45" i="1"/>
  <c r="AG44" i="1"/>
  <c r="AG43" i="1"/>
  <c r="AG42" i="1"/>
  <c r="AG41" i="1"/>
  <c r="AG40" i="1"/>
  <c r="AG39" i="1"/>
  <c r="AG38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M22" i="1"/>
  <c r="AG22" i="1"/>
  <c r="AG21" i="1"/>
  <c r="AG20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M67" i="1"/>
  <c r="AM66" i="1"/>
  <c r="AM65" i="1"/>
  <c r="AM64" i="1"/>
  <c r="AM63" i="1"/>
  <c r="AM62" i="1"/>
  <c r="AM61" i="1"/>
  <c r="AM60" i="1"/>
  <c r="AM59" i="1"/>
  <c r="AM58" i="1"/>
  <c r="AM57" i="1"/>
  <c r="AM56" i="1"/>
  <c r="AM55" i="1"/>
  <c r="AM54" i="1"/>
  <c r="AM53" i="1"/>
  <c r="AM52" i="1"/>
  <c r="AM51" i="1"/>
  <c r="AM50" i="1"/>
  <c r="AM49" i="1"/>
  <c r="AM48" i="1"/>
  <c r="AM47" i="1"/>
  <c r="AM46" i="1"/>
  <c r="AM45" i="1"/>
  <c r="AM44" i="1"/>
  <c r="AM43" i="1"/>
  <c r="AM42" i="1"/>
  <c r="AM41" i="1"/>
  <c r="AM40" i="1"/>
  <c r="AM39" i="1"/>
  <c r="AM38" i="1"/>
  <c r="AM37" i="1"/>
  <c r="AM36" i="1"/>
  <c r="AM35" i="1"/>
  <c r="AM34" i="1"/>
  <c r="AM33" i="1"/>
  <c r="AM32" i="1"/>
  <c r="AM31" i="1"/>
  <c r="AM30" i="1"/>
  <c r="AM29" i="1"/>
  <c r="AM28" i="1"/>
  <c r="AM27" i="1"/>
  <c r="AM26" i="1"/>
  <c r="AM25" i="1"/>
  <c r="AM21" i="1"/>
  <c r="AM20" i="1"/>
  <c r="AM19" i="1"/>
  <c r="AG19" i="1"/>
  <c r="AK19" i="1"/>
  <c r="P50" i="1"/>
  <c r="H50" i="1" s="1"/>
  <c r="P49" i="1"/>
  <c r="P48" i="1"/>
  <c r="P47" i="1"/>
  <c r="H47" i="1" s="1"/>
  <c r="P46" i="1"/>
  <c r="H46" i="1" s="1"/>
  <c r="P45" i="1"/>
  <c r="H45" i="1" s="1"/>
  <c r="P44" i="1"/>
  <c r="P43" i="1"/>
  <c r="H43" i="1" s="1"/>
  <c r="P42" i="1"/>
  <c r="P41" i="1"/>
  <c r="H41" i="1" s="1"/>
  <c r="P40" i="1"/>
  <c r="H40" i="1" s="1"/>
  <c r="P39" i="1"/>
  <c r="P38" i="1"/>
  <c r="P37" i="1"/>
  <c r="H37" i="1" s="1"/>
  <c r="P36" i="1"/>
  <c r="P35" i="1"/>
  <c r="P34" i="1"/>
  <c r="P33" i="1"/>
  <c r="H33" i="1" s="1"/>
  <c r="P32" i="1"/>
  <c r="H32" i="1" s="1"/>
  <c r="P31" i="1"/>
  <c r="H31" i="1" s="1"/>
  <c r="P30" i="1"/>
  <c r="H30" i="1" s="1"/>
  <c r="P29" i="1"/>
  <c r="AM18" i="1"/>
  <c r="AG18" i="1"/>
  <c r="AK18" i="1"/>
  <c r="AM17" i="1"/>
  <c r="AG17" i="1"/>
  <c r="AK17" i="1"/>
  <c r="P28" i="1"/>
  <c r="P27" i="1"/>
  <c r="H27" i="1" s="1"/>
  <c r="P26" i="1"/>
  <c r="P25" i="1"/>
  <c r="P24" i="1"/>
  <c r="P23" i="1"/>
  <c r="H23" i="1" s="1"/>
  <c r="P22" i="1"/>
  <c r="P21" i="1"/>
  <c r="H21" i="1" s="1"/>
  <c r="P20" i="1"/>
  <c r="H20" i="1" s="1"/>
  <c r="Q20" i="1" s="1"/>
  <c r="R20" i="1" s="1"/>
  <c r="P19" i="1"/>
  <c r="H19" i="1" s="1"/>
  <c r="P18" i="1"/>
  <c r="H18" i="1" s="1"/>
  <c r="P17" i="1"/>
  <c r="H17" i="1" s="1"/>
  <c r="AG16" i="1"/>
  <c r="AK16" i="1"/>
  <c r="P16" i="1"/>
  <c r="AG15" i="1"/>
  <c r="AK15" i="1"/>
  <c r="AM16" i="1"/>
  <c r="AM14" i="1"/>
  <c r="AK14" i="1"/>
  <c r="AG14" i="1"/>
  <c r="AM13" i="1"/>
  <c r="AG13" i="1"/>
  <c r="AK13" i="1"/>
  <c r="AM12" i="1"/>
  <c r="AG12" i="1"/>
  <c r="AK12" i="1"/>
  <c r="AM11" i="1"/>
  <c r="AG11" i="1"/>
  <c r="P15" i="1"/>
  <c r="H15" i="1" s="1"/>
  <c r="P14" i="1"/>
  <c r="P13" i="1"/>
  <c r="P12" i="1"/>
  <c r="P11" i="1"/>
  <c r="AK11" i="1"/>
  <c r="AM10" i="1"/>
  <c r="AM9" i="1"/>
  <c r="AM8" i="1"/>
  <c r="AM7" i="1"/>
  <c r="AK10" i="1"/>
  <c r="AK9" i="1"/>
  <c r="AK8" i="1"/>
  <c r="AK7" i="1"/>
  <c r="P68" i="1"/>
  <c r="H68" i="1" s="1"/>
  <c r="P10" i="1"/>
  <c r="H10" i="1" s="1"/>
  <c r="Q10" i="1" s="1"/>
  <c r="R10" i="1" s="1"/>
  <c r="P9" i="1"/>
  <c r="P8" i="1"/>
  <c r="H8" i="1" s="1"/>
  <c r="Q8" i="1" s="1"/>
  <c r="R8" i="1" s="1"/>
  <c r="P7" i="1"/>
  <c r="H7" i="1" s="1"/>
  <c r="AM6" i="1"/>
  <c r="AK6" i="1"/>
  <c r="P6" i="1"/>
  <c r="H6" i="1" s="1"/>
  <c r="AM5" i="1"/>
  <c r="AK5" i="1"/>
  <c r="AI5" i="1"/>
  <c r="AI6" i="1" s="1"/>
  <c r="AG10" i="1"/>
  <c r="AG9" i="1"/>
  <c r="AG8" i="1"/>
  <c r="AG7" i="1"/>
  <c r="AG6" i="1"/>
  <c r="AG5" i="1"/>
  <c r="P5" i="1"/>
  <c r="H5" i="1" s="1"/>
  <c r="A5" i="1"/>
  <c r="A6" i="1" s="1"/>
  <c r="AM4" i="1"/>
  <c r="AM68" i="1"/>
  <c r="AJ4" i="1"/>
  <c r="AG4" i="1"/>
  <c r="AG67" i="1"/>
  <c r="AG68" i="1"/>
  <c r="AK68" i="1"/>
  <c r="AK67" i="1"/>
  <c r="AK4" i="1"/>
  <c r="N47" i="2"/>
  <c r="AA44" i="11" l="1"/>
  <c r="Z45" i="11"/>
  <c r="O93" i="2"/>
  <c r="S117" i="1"/>
  <c r="U151" i="1"/>
  <c r="AA46" i="9"/>
  <c r="Z47" i="9"/>
  <c r="T147" i="1"/>
  <c r="U153" i="1"/>
  <c r="U152" i="1"/>
  <c r="AE151" i="1"/>
  <c r="AD152" i="1"/>
  <c r="AE7" i="7"/>
  <c r="AF7" i="7" s="1"/>
  <c r="AF6" i="7"/>
  <c r="U149" i="1"/>
  <c r="U150" i="1"/>
  <c r="P53" i="7"/>
  <c r="Q59" i="7"/>
  <c r="U147" i="1"/>
  <c r="U148" i="1"/>
  <c r="O39" i="7"/>
  <c r="Q103" i="2"/>
  <c r="O72" i="2"/>
  <c r="O77" i="2"/>
  <c r="H48" i="1"/>
  <c r="Q48" i="1" s="1"/>
  <c r="R48" i="1" s="1"/>
  <c r="H55" i="1"/>
  <c r="Q55" i="1" s="1"/>
  <c r="R55" i="1" s="1"/>
  <c r="H29" i="1"/>
  <c r="H67" i="1"/>
  <c r="H28" i="1"/>
  <c r="Q30" i="1"/>
  <c r="R30" i="1" s="1"/>
  <c r="AJ5" i="1"/>
  <c r="H42" i="1"/>
  <c r="Q42" i="1" s="1"/>
  <c r="R42" i="1" s="1"/>
  <c r="H24" i="1"/>
  <c r="Q24" i="1" s="1"/>
  <c r="R24" i="1" s="1"/>
  <c r="H39" i="1"/>
  <c r="Q39" i="1" s="1"/>
  <c r="R39" i="1" s="1"/>
  <c r="H44" i="1"/>
  <c r="Q44" i="1" s="1"/>
  <c r="R44" i="1" s="1"/>
  <c r="H38" i="1"/>
  <c r="S87" i="1"/>
  <c r="H16" i="1"/>
  <c r="Q57" i="1"/>
  <c r="R57" i="1" s="1"/>
  <c r="A7" i="1"/>
  <c r="Q46" i="1"/>
  <c r="R46" i="1" s="1"/>
  <c r="T84" i="1"/>
  <c r="H9" i="1"/>
  <c r="Q9" i="1" s="1"/>
  <c r="R9" i="1" s="1"/>
  <c r="H26" i="1"/>
  <c r="Q26" i="1" s="1"/>
  <c r="R26" i="1" s="1"/>
  <c r="H58" i="1"/>
  <c r="Q32" i="1"/>
  <c r="R32" i="1" s="1"/>
  <c r="H36" i="1"/>
  <c r="Q36" i="1" s="1"/>
  <c r="R36" i="1" s="1"/>
  <c r="AM24" i="1"/>
  <c r="U143" i="1"/>
  <c r="B8" i="7"/>
  <c r="B9" i="7" s="1"/>
  <c r="B10" i="7" s="1"/>
  <c r="B11" i="7" s="1"/>
  <c r="AE86" i="1"/>
  <c r="H14" i="1"/>
  <c r="H25" i="1"/>
  <c r="Q25" i="1" s="1"/>
  <c r="R25" i="1" s="1"/>
  <c r="H64" i="1"/>
  <c r="Q64" i="1" s="1"/>
  <c r="R64" i="1" s="1"/>
  <c r="S86" i="1"/>
  <c r="T144" i="1"/>
  <c r="S113" i="1"/>
  <c r="AD92" i="1"/>
  <c r="AD93" i="1" s="1"/>
  <c r="AD94" i="1" s="1"/>
  <c r="O14" i="7"/>
  <c r="O28" i="7"/>
  <c r="Q55" i="7"/>
  <c r="Q50" i="1"/>
  <c r="R50" i="1" s="1"/>
  <c r="Q59" i="1"/>
  <c r="R59" i="1" s="1"/>
  <c r="S89" i="1"/>
  <c r="S88" i="1"/>
  <c r="S90" i="1"/>
  <c r="Q51" i="1"/>
  <c r="R51" i="1" s="1"/>
  <c r="T81" i="1"/>
  <c r="H69" i="1"/>
  <c r="Q69" i="1" s="1"/>
  <c r="R69" i="1" s="1"/>
  <c r="H52" i="1"/>
  <c r="T141" i="1"/>
  <c r="T75" i="1"/>
  <c r="H78" i="1"/>
  <c r="H22" i="1"/>
  <c r="H13" i="1"/>
  <c r="U146" i="1"/>
  <c r="T140" i="1"/>
  <c r="U140" i="1"/>
  <c r="S125" i="1"/>
  <c r="H49" i="1"/>
  <c r="T142" i="1"/>
  <c r="H60" i="1"/>
  <c r="U131" i="1"/>
  <c r="H53" i="1"/>
  <c r="S78" i="1"/>
  <c r="H12" i="1"/>
  <c r="S107" i="1"/>
  <c r="S84" i="1"/>
  <c r="S85" i="1"/>
  <c r="T130" i="1"/>
  <c r="U145" i="1"/>
  <c r="Q63" i="1"/>
  <c r="R63" i="1" s="1"/>
  <c r="H34" i="1"/>
  <c r="H35" i="1"/>
  <c r="U142" i="1"/>
  <c r="Q40" i="1"/>
  <c r="R40" i="1" s="1"/>
  <c r="H83" i="1"/>
  <c r="AE78" i="1"/>
  <c r="B104" i="1"/>
  <c r="U144" i="1"/>
  <c r="S119" i="1"/>
  <c r="U133" i="1"/>
  <c r="H81" i="1"/>
  <c r="H61" i="1"/>
  <c r="U127" i="1"/>
  <c r="T122" i="1"/>
  <c r="H11" i="1"/>
  <c r="Q11" i="1" s="1"/>
  <c r="R11" i="1" s="1"/>
  <c r="S83" i="1"/>
  <c r="U141" i="1"/>
  <c r="Q65" i="1"/>
  <c r="R65" i="1" s="1"/>
  <c r="T87" i="1"/>
  <c r="S115" i="1"/>
  <c r="T143" i="1"/>
  <c r="T124" i="1"/>
  <c r="T146" i="1"/>
  <c r="T145" i="1"/>
  <c r="Z6" i="9"/>
  <c r="R16" i="9"/>
  <c r="Q10" i="9"/>
  <c r="P7" i="9"/>
  <c r="AA5" i="9"/>
  <c r="O31" i="7"/>
  <c r="O29" i="7"/>
  <c r="P34" i="7"/>
  <c r="O24" i="7"/>
  <c r="Q41" i="7"/>
  <c r="O25" i="7"/>
  <c r="P28" i="7"/>
  <c r="Q27" i="7"/>
  <c r="Q32" i="7"/>
  <c r="P26" i="7"/>
  <c r="O23" i="7"/>
  <c r="P25" i="7"/>
  <c r="O22" i="7"/>
  <c r="P12" i="7"/>
  <c r="O26" i="7"/>
  <c r="P29" i="7"/>
  <c r="P46" i="7"/>
  <c r="Q56" i="7"/>
  <c r="O27" i="7"/>
  <c r="P23" i="7"/>
  <c r="Q57" i="7"/>
  <c r="AA6" i="7"/>
  <c r="Q35" i="7"/>
  <c r="AA10" i="7"/>
  <c r="Q53" i="7"/>
  <c r="Q45" i="7"/>
  <c r="Q54" i="7"/>
  <c r="Q58" i="7"/>
  <c r="P31" i="7"/>
  <c r="P27" i="7"/>
  <c r="A6" i="7"/>
  <c r="P81" i="2"/>
  <c r="O81" i="2"/>
  <c r="O80" i="2"/>
  <c r="O33" i="2"/>
  <c r="O71" i="2"/>
  <c r="O84" i="2"/>
  <c r="O82" i="2"/>
  <c r="P84" i="2"/>
  <c r="P85" i="2"/>
  <c r="Q47" i="2"/>
  <c r="P92" i="2"/>
  <c r="O88" i="2"/>
  <c r="P91" i="2"/>
  <c r="O92" i="2"/>
  <c r="Q101" i="2"/>
  <c r="O51" i="2"/>
  <c r="Q83" i="2"/>
  <c r="Q85" i="2"/>
  <c r="O90" i="2"/>
  <c r="Q82" i="2"/>
  <c r="AA71" i="2"/>
  <c r="P79" i="2"/>
  <c r="Q84" i="2"/>
  <c r="P83" i="2"/>
  <c r="AF63" i="2"/>
  <c r="P62" i="2"/>
  <c r="Q102" i="2"/>
  <c r="Q81" i="2"/>
  <c r="P82" i="2"/>
  <c r="Q100" i="2"/>
  <c r="Q27" i="1"/>
  <c r="R27" i="1" s="1"/>
  <c r="Q43" i="1"/>
  <c r="R43" i="1" s="1"/>
  <c r="Q56" i="1"/>
  <c r="R56" i="1" s="1"/>
  <c r="O25" i="2"/>
  <c r="Q34" i="2"/>
  <c r="P28" i="2"/>
  <c r="AJ6" i="1"/>
  <c r="AI7" i="1"/>
  <c r="Q6" i="1"/>
  <c r="R6" i="1" s="1"/>
  <c r="Q7" i="1"/>
  <c r="R7" i="1" s="1"/>
  <c r="Q68" i="1"/>
  <c r="R68" i="1" s="1"/>
  <c r="Q15" i="1"/>
  <c r="R15" i="1" s="1"/>
  <c r="Q19" i="1"/>
  <c r="R19" i="1" s="1"/>
  <c r="Q23" i="1"/>
  <c r="R23" i="1" s="1"/>
  <c r="Q31" i="1"/>
  <c r="R31" i="1" s="1"/>
  <c r="Q47" i="1"/>
  <c r="R47" i="1" s="1"/>
  <c r="Q33" i="1"/>
  <c r="R33" i="1" s="1"/>
  <c r="Q37" i="1"/>
  <c r="R37" i="1" s="1"/>
  <c r="Q41" i="1"/>
  <c r="R41" i="1" s="1"/>
  <c r="Q45" i="1"/>
  <c r="R45" i="1" s="1"/>
  <c r="Q54" i="1"/>
  <c r="R54" i="1" s="1"/>
  <c r="Q62" i="1"/>
  <c r="R62" i="1" s="1"/>
  <c r="Q66" i="1"/>
  <c r="R66" i="1" s="1"/>
  <c r="P15" i="2"/>
  <c r="P21" i="2"/>
  <c r="P25" i="2"/>
  <c r="P26" i="2"/>
  <c r="O27" i="2"/>
  <c r="Q36" i="2"/>
  <c r="P30" i="2"/>
  <c r="O28" i="2"/>
  <c r="Q37" i="2"/>
  <c r="P31" i="2"/>
  <c r="Q5" i="1"/>
  <c r="R5" i="1" s="1"/>
  <c r="Q17" i="1"/>
  <c r="R17" i="1" s="1"/>
  <c r="Q21" i="1"/>
  <c r="R21" i="1" s="1"/>
  <c r="O9" i="2"/>
  <c r="Q18" i="2"/>
  <c r="O8" i="2"/>
  <c r="P12" i="2"/>
  <c r="Q20" i="2"/>
  <c r="O11" i="2"/>
  <c r="P14" i="2"/>
  <c r="P13" i="2"/>
  <c r="Q22" i="2"/>
  <c r="O13" i="2"/>
  <c r="P16" i="2"/>
  <c r="O15" i="2"/>
  <c r="Q24" i="2"/>
  <c r="P18" i="2"/>
  <c r="Q26" i="2"/>
  <c r="O17" i="2"/>
  <c r="P19" i="2"/>
  <c r="P20" i="2"/>
  <c r="Q28" i="2"/>
  <c r="O19" i="2"/>
  <c r="P22" i="2"/>
  <c r="O21" i="2"/>
  <c r="Q30" i="2"/>
  <c r="P24" i="2"/>
  <c r="P23" i="2"/>
  <c r="O26" i="2"/>
  <c r="Q35" i="2"/>
  <c r="P29" i="2"/>
  <c r="Q29" i="2"/>
  <c r="O20" i="2"/>
  <c r="O29" i="2"/>
  <c r="Q38" i="2"/>
  <c r="P32" i="2"/>
  <c r="O36" i="2"/>
  <c r="Q45" i="2"/>
  <c r="P39" i="2"/>
  <c r="Q49" i="2"/>
  <c r="P43" i="2"/>
  <c r="Q53" i="2"/>
  <c r="O44" i="2"/>
  <c r="P47" i="2"/>
  <c r="AM23" i="1"/>
  <c r="AM15" i="1"/>
  <c r="O31" i="2"/>
  <c r="P34" i="2"/>
  <c r="Q40" i="2"/>
  <c r="O34" i="2"/>
  <c r="P37" i="2"/>
  <c r="S73" i="1"/>
  <c r="T82" i="1"/>
  <c r="U88" i="1"/>
  <c r="O40" i="2"/>
  <c r="P38" i="2"/>
  <c r="O35" i="2"/>
  <c r="Q44" i="2"/>
  <c r="Q48" i="2"/>
  <c r="P42" i="2"/>
  <c r="P46" i="2"/>
  <c r="Q52" i="2"/>
  <c r="O43" i="2"/>
  <c r="Q67" i="1"/>
  <c r="R67" i="1" s="1"/>
  <c r="Q19" i="2"/>
  <c r="O10" i="2"/>
  <c r="Q23" i="2"/>
  <c r="O14" i="2"/>
  <c r="Q27" i="2"/>
  <c r="O18" i="2"/>
  <c r="Q31" i="2"/>
  <c r="O22" i="2"/>
  <c r="Q32" i="2"/>
  <c r="O23" i="2"/>
  <c r="U92" i="1"/>
  <c r="S76" i="1"/>
  <c r="T86" i="1"/>
  <c r="S77" i="1"/>
  <c r="U96" i="1"/>
  <c r="S81" i="1"/>
  <c r="P36" i="2"/>
  <c r="Q42" i="2"/>
  <c r="O39" i="2"/>
  <c r="P41" i="2"/>
  <c r="O38" i="2"/>
  <c r="Q51" i="2"/>
  <c r="O42" i="2"/>
  <c r="Q21" i="2"/>
  <c r="O12" i="2"/>
  <c r="Q25" i="2"/>
  <c r="O16" i="2"/>
  <c r="O24" i="2"/>
  <c r="Q33" i="2"/>
  <c r="O32" i="2"/>
  <c r="Q41" i="2"/>
  <c r="P35" i="2"/>
  <c r="S72" i="1"/>
  <c r="U87" i="1"/>
  <c r="U90" i="1"/>
  <c r="U89" i="1"/>
  <c r="S74" i="1"/>
  <c r="S75" i="1"/>
  <c r="T83" i="1"/>
  <c r="H84" i="1"/>
  <c r="Q58" i="2"/>
  <c r="P52" i="2"/>
  <c r="O49" i="2"/>
  <c r="Q18" i="1"/>
  <c r="R18" i="1" s="1"/>
  <c r="O47" i="2"/>
  <c r="P17" i="2"/>
  <c r="P27" i="2"/>
  <c r="T85" i="1"/>
  <c r="O30" i="2"/>
  <c r="P33" i="2"/>
  <c r="Q39" i="2"/>
  <c r="T90" i="1"/>
  <c r="U95" i="1"/>
  <c r="T89" i="1"/>
  <c r="S79" i="1"/>
  <c r="S80" i="1"/>
  <c r="T88" i="1"/>
  <c r="H80" i="1"/>
  <c r="T92" i="1"/>
  <c r="U98" i="1"/>
  <c r="S82" i="1"/>
  <c r="H79" i="1"/>
  <c r="P45" i="2"/>
  <c r="Q43" i="2"/>
  <c r="O37" i="2"/>
  <c r="Q46" i="2"/>
  <c r="P40" i="2"/>
  <c r="Q50" i="2"/>
  <c r="O41" i="2"/>
  <c r="P44" i="2"/>
  <c r="Q54" i="2"/>
  <c r="P48" i="2"/>
  <c r="O45" i="2"/>
  <c r="Q56" i="2"/>
  <c r="P50" i="2"/>
  <c r="T105" i="1"/>
  <c r="U111" i="1"/>
  <c r="S95" i="1"/>
  <c r="S96" i="1"/>
  <c r="Q64" i="2"/>
  <c r="P58" i="2"/>
  <c r="O55" i="2"/>
  <c r="Q21" i="7"/>
  <c r="P15" i="7"/>
  <c r="O12" i="7"/>
  <c r="Q67" i="2"/>
  <c r="O58" i="2"/>
  <c r="P61" i="2"/>
  <c r="U97" i="1"/>
  <c r="T91" i="1"/>
  <c r="U100" i="1"/>
  <c r="T94" i="1"/>
  <c r="U102" i="1"/>
  <c r="T96" i="1"/>
  <c r="U103" i="1"/>
  <c r="T97" i="1"/>
  <c r="Q55" i="2"/>
  <c r="O46" i="2"/>
  <c r="P49" i="2"/>
  <c r="U108" i="1"/>
  <c r="T102" i="1"/>
  <c r="S93" i="1"/>
  <c r="Q17" i="7"/>
  <c r="O8" i="7"/>
  <c r="P11" i="7"/>
  <c r="Q20" i="7"/>
  <c r="P14" i="7"/>
  <c r="O11" i="7"/>
  <c r="Q16" i="7"/>
  <c r="P10" i="7"/>
  <c r="O7" i="7"/>
  <c r="O10" i="7"/>
  <c r="Q63" i="2"/>
  <c r="P57" i="2"/>
  <c r="O54" i="2"/>
  <c r="P59" i="2"/>
  <c r="Q65" i="2"/>
  <c r="O56" i="2"/>
  <c r="T107" i="1"/>
  <c r="U113" i="1"/>
  <c r="S98" i="1"/>
  <c r="U94" i="1"/>
  <c r="U93" i="1"/>
  <c r="U91" i="1"/>
  <c r="U99" i="1"/>
  <c r="T93" i="1"/>
  <c r="U101" i="1"/>
  <c r="T95" i="1"/>
  <c r="U104" i="1"/>
  <c r="T98" i="1"/>
  <c r="U105" i="1"/>
  <c r="T99" i="1"/>
  <c r="P11" i="2"/>
  <c r="T103" i="1"/>
  <c r="U109" i="1"/>
  <c r="S94" i="1"/>
  <c r="AE93" i="1"/>
  <c r="U114" i="1"/>
  <c r="T108" i="1"/>
  <c r="S99" i="1"/>
  <c r="T106" i="1"/>
  <c r="U112" i="1"/>
  <c r="S97" i="1"/>
  <c r="U106" i="1"/>
  <c r="T100" i="1"/>
  <c r="Q57" i="2"/>
  <c r="U107" i="1"/>
  <c r="T101" i="1"/>
  <c r="Q59" i="2"/>
  <c r="S92" i="1"/>
  <c r="Q61" i="2"/>
  <c r="Z7" i="7"/>
  <c r="P60" i="2"/>
  <c r="Q66" i="2"/>
  <c r="O57" i="2"/>
  <c r="P16" i="7"/>
  <c r="Q22" i="7"/>
  <c r="O13" i="7"/>
  <c r="Z28" i="2"/>
  <c r="AA5" i="7"/>
  <c r="AG6" i="7"/>
  <c r="O53" i="2"/>
  <c r="P54" i="2"/>
  <c r="P55" i="2"/>
  <c r="U116" i="1"/>
  <c r="T110" i="1"/>
  <c r="S101" i="1"/>
  <c r="Q17" i="2"/>
  <c r="Z6" i="2"/>
  <c r="O50" i="2"/>
  <c r="P51" i="2"/>
  <c r="T104" i="1"/>
  <c r="U110" i="1"/>
  <c r="Q60" i="2"/>
  <c r="Q62" i="2"/>
  <c r="Q18" i="7"/>
  <c r="Q19" i="7"/>
  <c r="O52" i="2"/>
  <c r="P53" i="2"/>
  <c r="O9" i="7"/>
  <c r="P13" i="7"/>
  <c r="P56" i="2"/>
  <c r="T111" i="1"/>
  <c r="U117" i="1"/>
  <c r="S102" i="1"/>
  <c r="Q69" i="2"/>
  <c r="O60" i="2"/>
  <c r="O59" i="2"/>
  <c r="P63" i="2"/>
  <c r="Q71" i="2"/>
  <c r="P65" i="2"/>
  <c r="O62" i="2"/>
  <c r="Q72" i="2"/>
  <c r="P66" i="2"/>
  <c r="O63" i="2"/>
  <c r="AA5" i="2"/>
  <c r="O48" i="2"/>
  <c r="S91" i="1"/>
  <c r="A11" i="7"/>
  <c r="U115" i="1"/>
  <c r="T109" i="1"/>
  <c r="S100" i="1"/>
  <c r="S103" i="1"/>
  <c r="U118" i="1"/>
  <c r="T112" i="1"/>
  <c r="Q73" i="2"/>
  <c r="P67" i="2"/>
  <c r="O64" i="2"/>
  <c r="AF64" i="2"/>
  <c r="AE65" i="2"/>
  <c r="U124" i="1"/>
  <c r="U120" i="1"/>
  <c r="T119" i="1"/>
  <c r="T115" i="1"/>
  <c r="S110" i="1"/>
  <c r="U122" i="1"/>
  <c r="T117" i="1"/>
  <c r="U123" i="1"/>
  <c r="T118" i="1"/>
  <c r="U125" i="1"/>
  <c r="T114" i="1"/>
  <c r="U121" i="1"/>
  <c r="T116" i="1"/>
  <c r="S108" i="1"/>
  <c r="S109" i="1"/>
  <c r="Z73" i="2"/>
  <c r="AA72" i="2"/>
  <c r="Q23" i="7"/>
  <c r="P17" i="7"/>
  <c r="P19" i="7"/>
  <c r="Q25" i="7"/>
  <c r="O16" i="7"/>
  <c r="Z11" i="7"/>
  <c r="Q68" i="2"/>
  <c r="Q70" i="2"/>
  <c r="O61" i="2"/>
  <c r="Q74" i="2"/>
  <c r="P68" i="2"/>
  <c r="P69" i="2"/>
  <c r="O66" i="2"/>
  <c r="Q75" i="2"/>
  <c r="Q77" i="2"/>
  <c r="P71" i="2"/>
  <c r="O68" i="2"/>
  <c r="B69" i="2"/>
  <c r="P64" i="2"/>
  <c r="O65" i="2"/>
  <c r="Q26" i="7"/>
  <c r="Q79" i="2"/>
  <c r="P73" i="2"/>
  <c r="O70" i="2"/>
  <c r="P78" i="2"/>
  <c r="O75" i="2"/>
  <c r="Q24" i="7"/>
  <c r="O15" i="7"/>
  <c r="P18" i="7"/>
  <c r="S104" i="1"/>
  <c r="T113" i="1"/>
  <c r="U119" i="1"/>
  <c r="Q76" i="2"/>
  <c r="O67" i="2"/>
  <c r="P70" i="2"/>
  <c r="U126" i="1"/>
  <c r="T120" i="1"/>
  <c r="S111" i="1"/>
  <c r="Q30" i="7"/>
  <c r="O21" i="7"/>
  <c r="P24" i="7"/>
  <c r="O19" i="7"/>
  <c r="Q28" i="7"/>
  <c r="P22" i="7"/>
  <c r="P77" i="2"/>
  <c r="O74" i="2"/>
  <c r="P21" i="7"/>
  <c r="P20" i="7"/>
  <c r="O17" i="7"/>
  <c r="Q89" i="2"/>
  <c r="Q92" i="2"/>
  <c r="O83" i="2"/>
  <c r="P86" i="2"/>
  <c r="Q78" i="2"/>
  <c r="Q29" i="7"/>
  <c r="O69" i="2"/>
  <c r="Q80" i="2"/>
  <c r="P76" i="2"/>
  <c r="O73" i="2"/>
  <c r="P80" i="2"/>
  <c r="Q96" i="2"/>
  <c r="P90" i="2"/>
  <c r="O87" i="2"/>
  <c r="O20" i="7"/>
  <c r="O18" i="7"/>
  <c r="Q87" i="2"/>
  <c r="O78" i="2"/>
  <c r="Q88" i="2"/>
  <c r="O79" i="2"/>
  <c r="Q95" i="2"/>
  <c r="P89" i="2"/>
  <c r="O86" i="2"/>
  <c r="P75" i="2"/>
  <c r="P72" i="2"/>
  <c r="P74" i="2"/>
  <c r="Q91" i="2"/>
  <c r="Q94" i="2"/>
  <c r="P88" i="2"/>
  <c r="O85" i="2"/>
  <c r="B113" i="1"/>
  <c r="Q86" i="2"/>
  <c r="S127" i="1"/>
  <c r="U128" i="1"/>
  <c r="T123" i="1"/>
  <c r="S114" i="1"/>
  <c r="S131" i="1"/>
  <c r="U132" i="1"/>
  <c r="S133" i="1"/>
  <c r="T134" i="1"/>
  <c r="Q31" i="7"/>
  <c r="O35" i="7"/>
  <c r="Q37" i="7"/>
  <c r="Q44" i="7"/>
  <c r="P41" i="7"/>
  <c r="O38" i="7"/>
  <c r="Q47" i="7"/>
  <c r="P40" i="7"/>
  <c r="O37" i="7"/>
  <c r="Q90" i="2"/>
  <c r="S134" i="1"/>
  <c r="S132" i="1"/>
  <c r="S130" i="1"/>
  <c r="S128" i="1"/>
  <c r="S126" i="1"/>
  <c r="T133" i="1"/>
  <c r="S124" i="1"/>
  <c r="T131" i="1"/>
  <c r="S122" i="1"/>
  <c r="U135" i="1"/>
  <c r="T129" i="1"/>
  <c r="S120" i="1"/>
  <c r="Q48" i="7"/>
  <c r="Q50" i="7"/>
  <c r="P44" i="7"/>
  <c r="O41" i="7"/>
  <c r="Q52" i="7"/>
  <c r="P48" i="7"/>
  <c r="O45" i="7"/>
  <c r="P50" i="7"/>
  <c r="P52" i="7"/>
  <c r="O49" i="7"/>
  <c r="O76" i="2"/>
  <c r="S123" i="1"/>
  <c r="T121" i="1"/>
  <c r="S112" i="1"/>
  <c r="S129" i="1"/>
  <c r="U130" i="1"/>
  <c r="T125" i="1"/>
  <c r="S116" i="1"/>
  <c r="S135" i="1"/>
  <c r="T127" i="1"/>
  <c r="S118" i="1"/>
  <c r="Q34" i="7"/>
  <c r="Q36" i="7"/>
  <c r="P30" i="7"/>
  <c r="P38" i="7"/>
  <c r="P33" i="7"/>
  <c r="Q39" i="7"/>
  <c r="P32" i="7"/>
  <c r="O30" i="7"/>
  <c r="P35" i="7"/>
  <c r="O32" i="7"/>
  <c r="O43" i="7"/>
  <c r="P87" i="2"/>
  <c r="Q93" i="2"/>
  <c r="T135" i="1"/>
  <c r="S121" i="1"/>
  <c r="T126" i="1"/>
  <c r="T128" i="1"/>
  <c r="U129" i="1"/>
  <c r="T132" i="1"/>
  <c r="U134" i="1"/>
  <c r="Q33" i="7"/>
  <c r="Q40" i="7"/>
  <c r="P42" i="7"/>
  <c r="P37" i="7"/>
  <c r="O34" i="7"/>
  <c r="Q43" i="7"/>
  <c r="P36" i="7"/>
  <c r="O33" i="7"/>
  <c r="P39" i="7"/>
  <c r="O36" i="7"/>
  <c r="O47" i="7"/>
  <c r="P43" i="7"/>
  <c r="O48" i="7"/>
  <c r="Q38" i="7"/>
  <c r="O40" i="7"/>
  <c r="Q42" i="7"/>
  <c r="O44" i="7"/>
  <c r="Q46" i="7"/>
  <c r="P47" i="7"/>
  <c r="S105" i="1"/>
  <c r="S106" i="1"/>
  <c r="Q49" i="7"/>
  <c r="Q51" i="7"/>
  <c r="P49" i="7"/>
  <c r="P51" i="7"/>
  <c r="O50" i="7"/>
  <c r="P98" i="2"/>
  <c r="O95" i="2"/>
  <c r="O94" i="2"/>
  <c r="P97" i="2"/>
  <c r="P94" i="2"/>
  <c r="Q98" i="2"/>
  <c r="AE122" i="1"/>
  <c r="O42" i="7"/>
  <c r="P45" i="7"/>
  <c r="O46" i="7"/>
  <c r="O89" i="2"/>
  <c r="O91" i="2"/>
  <c r="P93" i="2"/>
  <c r="P96" i="2"/>
  <c r="P95" i="2"/>
  <c r="Q99" i="2"/>
  <c r="Q97" i="2"/>
  <c r="AD128" i="1"/>
  <c r="AE127" i="1"/>
  <c r="U136" i="1"/>
  <c r="U139" i="1"/>
  <c r="S137" i="1"/>
  <c r="T139" i="1"/>
  <c r="U138" i="1"/>
  <c r="T138" i="1"/>
  <c r="U137" i="1"/>
  <c r="S138" i="1"/>
  <c r="T137" i="1"/>
  <c r="T136" i="1"/>
  <c r="S136" i="1"/>
  <c r="AA45" i="11" l="1"/>
  <c r="Z46" i="11"/>
  <c r="AE8" i="7"/>
  <c r="AF8" i="7" s="1"/>
  <c r="AA47" i="9"/>
  <c r="Z48" i="9"/>
  <c r="AE152" i="1"/>
  <c r="AD153" i="1"/>
  <c r="A7" i="7"/>
  <c r="Q29" i="1"/>
  <c r="R29" i="1" s="1"/>
  <c r="S31" i="1" s="1"/>
  <c r="Q16" i="1"/>
  <c r="R16" i="1" s="1"/>
  <c r="S18" i="1" s="1"/>
  <c r="S10" i="1"/>
  <c r="Q49" i="1"/>
  <c r="R49" i="1" s="1"/>
  <c r="S50" i="1" s="1"/>
  <c r="S44" i="1"/>
  <c r="Q28" i="1"/>
  <c r="R28" i="1" s="1"/>
  <c r="Q38" i="1"/>
  <c r="R38" i="1" s="1"/>
  <c r="T43" i="1" s="1"/>
  <c r="S57" i="1"/>
  <c r="Q61" i="1"/>
  <c r="R61" i="1" s="1"/>
  <c r="S63" i="1" s="1"/>
  <c r="Q58" i="1"/>
  <c r="R58" i="1" s="1"/>
  <c r="S58" i="1" s="1"/>
  <c r="Q34" i="1"/>
  <c r="R34" i="1" s="1"/>
  <c r="S11" i="1"/>
  <c r="Q52" i="1"/>
  <c r="R52" i="1" s="1"/>
  <c r="S52" i="1" s="1"/>
  <c r="B12" i="7"/>
  <c r="A8" i="1"/>
  <c r="AE92" i="1"/>
  <c r="Q14" i="1"/>
  <c r="R14" i="1" s="1"/>
  <c r="Q12" i="1"/>
  <c r="R12" i="1" s="1"/>
  <c r="T12" i="1" s="1"/>
  <c r="T76" i="1"/>
  <c r="S27" i="1"/>
  <c r="S26" i="1"/>
  <c r="Q22" i="1"/>
  <c r="R22" i="1" s="1"/>
  <c r="S23" i="1" s="1"/>
  <c r="B105" i="1"/>
  <c r="Q13" i="1"/>
  <c r="R13" i="1" s="1"/>
  <c r="Q35" i="1"/>
  <c r="R35" i="1" s="1"/>
  <c r="S37" i="1" s="1"/>
  <c r="Q53" i="1"/>
  <c r="R53" i="1" s="1"/>
  <c r="Q60" i="1"/>
  <c r="R60" i="1" s="1"/>
  <c r="Z7" i="9"/>
  <c r="AA6" i="9"/>
  <c r="U73" i="1"/>
  <c r="U79" i="1"/>
  <c r="T67" i="1"/>
  <c r="S64" i="1"/>
  <c r="S43" i="1"/>
  <c r="T46" i="1"/>
  <c r="T69" i="1"/>
  <c r="S66" i="1"/>
  <c r="U81" i="1"/>
  <c r="U75" i="1"/>
  <c r="S8" i="1"/>
  <c r="T11" i="1"/>
  <c r="AE128" i="1"/>
  <c r="S41" i="1"/>
  <c r="S56" i="1"/>
  <c r="S47" i="1"/>
  <c r="T74" i="1"/>
  <c r="T80" i="1"/>
  <c r="S71" i="1"/>
  <c r="U86" i="1"/>
  <c r="S33" i="1"/>
  <c r="S21" i="1"/>
  <c r="S65" i="1"/>
  <c r="U74" i="1"/>
  <c r="S42" i="1"/>
  <c r="S9" i="1"/>
  <c r="AJ7" i="1"/>
  <c r="AI8" i="1"/>
  <c r="AE121" i="1"/>
  <c r="Z12" i="7"/>
  <c r="AA11" i="7"/>
  <c r="Z74" i="2"/>
  <c r="AA73" i="2"/>
  <c r="AE66" i="2"/>
  <c r="AF65" i="2"/>
  <c r="AA7" i="7"/>
  <c r="AG7" i="7"/>
  <c r="AH6" i="7"/>
  <c r="S19" i="1"/>
  <c r="T44" i="1"/>
  <c r="S48" i="1"/>
  <c r="U83" i="1"/>
  <c r="S68" i="1"/>
  <c r="T77" i="1"/>
  <c r="U82" i="1"/>
  <c r="T70" i="1"/>
  <c r="T71" i="1"/>
  <c r="U80" i="1"/>
  <c r="S46" i="1"/>
  <c r="AA6" i="2"/>
  <c r="Z7" i="2"/>
  <c r="AA28" i="2"/>
  <c r="Z29" i="2"/>
  <c r="S20" i="1"/>
  <c r="B114" i="1"/>
  <c r="B70" i="2"/>
  <c r="A12" i="7"/>
  <c r="AD95" i="1"/>
  <c r="AE94" i="1"/>
  <c r="U84" i="1"/>
  <c r="T78" i="1"/>
  <c r="S69" i="1"/>
  <c r="T72" i="1"/>
  <c r="S32" i="1"/>
  <c r="T10" i="1"/>
  <c r="S7" i="1"/>
  <c r="S25" i="1"/>
  <c r="T68" i="1"/>
  <c r="T45" i="1"/>
  <c r="T73" i="1"/>
  <c r="T79" i="1"/>
  <c r="S70" i="1"/>
  <c r="U85" i="1"/>
  <c r="S67" i="1"/>
  <c r="T48" i="1"/>
  <c r="T47" i="1"/>
  <c r="S45" i="1"/>
  <c r="AA46" i="11" l="1"/>
  <c r="Z47" i="11"/>
  <c r="T65" i="1"/>
  <c r="AE9" i="7"/>
  <c r="AF9" i="7" s="1"/>
  <c r="S30" i="1"/>
  <c r="AA48" i="9"/>
  <c r="Z49" i="9"/>
  <c r="AE153" i="1"/>
  <c r="AD154" i="1"/>
  <c r="T34" i="1"/>
  <c r="U72" i="1"/>
  <c r="T20" i="1"/>
  <c r="S51" i="1"/>
  <c r="U52" i="1"/>
  <c r="T30" i="1"/>
  <c r="S38" i="1"/>
  <c r="U47" i="1"/>
  <c r="T32" i="1"/>
  <c r="T42" i="1"/>
  <c r="S17" i="1"/>
  <c r="T21" i="1"/>
  <c r="U51" i="1"/>
  <c r="T51" i="1"/>
  <c r="T66" i="1"/>
  <c r="U50" i="1"/>
  <c r="T23" i="1"/>
  <c r="T53" i="1"/>
  <c r="T50" i="1"/>
  <c r="T49" i="1"/>
  <c r="T25" i="1"/>
  <c r="S49" i="1"/>
  <c r="U78" i="1"/>
  <c r="U49" i="1"/>
  <c r="S36" i="1"/>
  <c r="T38" i="1"/>
  <c r="S34" i="1"/>
  <c r="T28" i="1"/>
  <c r="S29" i="1"/>
  <c r="U36" i="1"/>
  <c r="T29" i="1"/>
  <c r="S16" i="1"/>
  <c r="U60" i="1"/>
  <c r="T33" i="1"/>
  <c r="T31" i="1"/>
  <c r="U34" i="1"/>
  <c r="S28" i="1"/>
  <c r="T59" i="1"/>
  <c r="S59" i="1"/>
  <c r="U28" i="1"/>
  <c r="S39" i="1"/>
  <c r="T41" i="1"/>
  <c r="U43" i="1"/>
  <c r="U20" i="1"/>
  <c r="T57" i="1"/>
  <c r="T19" i="1"/>
  <c r="U25" i="1"/>
  <c r="U33" i="1"/>
  <c r="T24" i="1"/>
  <c r="T36" i="1"/>
  <c r="U48" i="1"/>
  <c r="T26" i="1"/>
  <c r="S40" i="1"/>
  <c r="U71" i="1"/>
  <c r="U55" i="1"/>
  <c r="T35" i="1"/>
  <c r="U46" i="1"/>
  <c r="U57" i="1"/>
  <c r="T52" i="1"/>
  <c r="T54" i="1"/>
  <c r="U35" i="1"/>
  <c r="U44" i="1"/>
  <c r="T37" i="1"/>
  <c r="U54" i="1"/>
  <c r="S35" i="1"/>
  <c r="U39" i="1"/>
  <c r="U42" i="1"/>
  <c r="T39" i="1"/>
  <c r="U40" i="1"/>
  <c r="U38" i="1"/>
  <c r="U45" i="1"/>
  <c r="U41" i="1"/>
  <c r="T40" i="1"/>
  <c r="U37" i="1"/>
  <c r="U58" i="1"/>
  <c r="S14" i="1"/>
  <c r="A9" i="1"/>
  <c r="U31" i="1"/>
  <c r="S22" i="1"/>
  <c r="U32" i="1"/>
  <c r="U21" i="1"/>
  <c r="T27" i="1"/>
  <c r="U29" i="1"/>
  <c r="U27" i="1"/>
  <c r="T22" i="1"/>
  <c r="U30" i="1"/>
  <c r="U26" i="1"/>
  <c r="B13" i="7"/>
  <c r="T60" i="1"/>
  <c r="U63" i="1"/>
  <c r="U65" i="1"/>
  <c r="T61" i="1"/>
  <c r="T63" i="1"/>
  <c r="T64" i="1"/>
  <c r="U56" i="1"/>
  <c r="U68" i="1"/>
  <c r="U22" i="1"/>
  <c r="U24" i="1"/>
  <c r="U66" i="1"/>
  <c r="T17" i="1"/>
  <c r="U23" i="1"/>
  <c r="U61" i="1"/>
  <c r="U67" i="1"/>
  <c r="U76" i="1"/>
  <c r="T13" i="1"/>
  <c r="U53" i="1"/>
  <c r="S55" i="1"/>
  <c r="T56" i="1"/>
  <c r="T18" i="1"/>
  <c r="U59" i="1"/>
  <c r="U62" i="1"/>
  <c r="B106" i="1"/>
  <c r="U77" i="1"/>
  <c r="U64" i="1"/>
  <c r="U17" i="1"/>
  <c r="U16" i="1"/>
  <c r="U70" i="1"/>
  <c r="T58" i="1"/>
  <c r="U69" i="1"/>
  <c r="U18" i="1"/>
  <c r="U19" i="1"/>
  <c r="S12" i="1"/>
  <c r="T14" i="1"/>
  <c r="T15" i="1"/>
  <c r="S60" i="1"/>
  <c r="S53" i="1"/>
  <c r="T16" i="1"/>
  <c r="T55" i="1"/>
  <c r="S15" i="1"/>
  <c r="S13" i="1"/>
  <c r="S54" i="1"/>
  <c r="S61" i="1"/>
  <c r="S62" i="1"/>
  <c r="T62" i="1"/>
  <c r="S24" i="1"/>
  <c r="AA7" i="9"/>
  <c r="Z8" i="9"/>
  <c r="B71" i="2"/>
  <c r="AA29" i="2"/>
  <c r="Z30" i="2"/>
  <c r="AH7" i="7"/>
  <c r="AG8" i="7"/>
  <c r="AE120" i="1"/>
  <c r="Z13" i="7"/>
  <c r="AA12" i="7"/>
  <c r="AD96" i="1"/>
  <c r="AE95" i="1"/>
  <c r="B115" i="1"/>
  <c r="P10" i="2"/>
  <c r="Q16" i="2"/>
  <c r="P9" i="2"/>
  <c r="O7" i="2"/>
  <c r="AA74" i="2"/>
  <c r="Z75" i="2"/>
  <c r="Z8" i="2"/>
  <c r="AA7" i="2"/>
  <c r="A13" i="7"/>
  <c r="AE67" i="2"/>
  <c r="AF66" i="2"/>
  <c r="AJ8" i="1"/>
  <c r="AI9" i="1"/>
  <c r="AA47" i="11" l="1"/>
  <c r="Z48" i="11"/>
  <c r="AE10" i="7"/>
  <c r="AF10" i="7" s="1"/>
  <c r="AA49" i="9"/>
  <c r="Z50" i="9"/>
  <c r="AE154" i="1"/>
  <c r="AD155" i="1"/>
  <c r="B14" i="7"/>
  <c r="A10" i="1"/>
  <c r="B107" i="1"/>
  <c r="AA8" i="9"/>
  <c r="Z9" i="9"/>
  <c r="AA13" i="7"/>
  <c r="Z14" i="7"/>
  <c r="AI10" i="1"/>
  <c r="AJ9" i="1"/>
  <c r="AE11" i="7"/>
  <c r="AF11" i="7" s="1"/>
  <c r="A14" i="7"/>
  <c r="Z76" i="2"/>
  <c r="AA75" i="2"/>
  <c r="AD97" i="1"/>
  <c r="AE96" i="1"/>
  <c r="AE119" i="1"/>
  <c r="AH8" i="7"/>
  <c r="AG9" i="7"/>
  <c r="AF67" i="2"/>
  <c r="AE68" i="2"/>
  <c r="AA8" i="2"/>
  <c r="Z9" i="2"/>
  <c r="B116" i="1"/>
  <c r="Z31" i="2"/>
  <c r="AA30" i="2"/>
  <c r="B72" i="2"/>
  <c r="AA48" i="11" l="1"/>
  <c r="Z49" i="11"/>
  <c r="AA50" i="9"/>
  <c r="Z51" i="9"/>
  <c r="AE155" i="1"/>
  <c r="AD156" i="1"/>
  <c r="A11" i="1"/>
  <c r="B15" i="7"/>
  <c r="AA9" i="9"/>
  <c r="Z10" i="9"/>
  <c r="B73" i="2"/>
  <c r="Z32" i="2"/>
  <c r="AA31" i="2"/>
  <c r="B117" i="1"/>
  <c r="A15" i="7"/>
  <c r="AE12" i="7"/>
  <c r="AF12" i="7" s="1"/>
  <c r="AI11" i="1"/>
  <c r="AJ10" i="1"/>
  <c r="AE69" i="2"/>
  <c r="AF68" i="2"/>
  <c r="AG10" i="7"/>
  <c r="AH9" i="7"/>
  <c r="AE118" i="1"/>
  <c r="AA76" i="2"/>
  <c r="Z77" i="2"/>
  <c r="AA9" i="2"/>
  <c r="Z10" i="2"/>
  <c r="AD98" i="1"/>
  <c r="AE97" i="1"/>
  <c r="Z15" i="7"/>
  <c r="AA14" i="7"/>
  <c r="AA49" i="11" l="1"/>
  <c r="Z50" i="11"/>
  <c r="AA51" i="9"/>
  <c r="Z52" i="9"/>
  <c r="AE156" i="1"/>
  <c r="AD157" i="1"/>
  <c r="B16" i="7"/>
  <c r="A12" i="1"/>
  <c r="AA10" i="9"/>
  <c r="Z16" i="7"/>
  <c r="AA15" i="7"/>
  <c r="AD99" i="1"/>
  <c r="AE98" i="1"/>
  <c r="AG11" i="7"/>
  <c r="AH10" i="7"/>
  <c r="AJ11" i="1"/>
  <c r="AI12" i="1"/>
  <c r="Z11" i="2"/>
  <c r="AA10" i="2"/>
  <c r="Z78" i="2"/>
  <c r="AA77" i="2"/>
  <c r="AE117" i="1"/>
  <c r="AE70" i="2"/>
  <c r="AF69" i="2"/>
  <c r="AE13" i="7"/>
  <c r="AF13" i="7" s="1"/>
  <c r="A16" i="7"/>
  <c r="B118" i="1"/>
  <c r="AA32" i="2"/>
  <c r="Z33" i="2"/>
  <c r="B74" i="2"/>
  <c r="AA50" i="11" l="1"/>
  <c r="Z51" i="11"/>
  <c r="AA52" i="9"/>
  <c r="Z53" i="9"/>
  <c r="AE157" i="1"/>
  <c r="AD158" i="1"/>
  <c r="A13" i="1"/>
  <c r="B17" i="7"/>
  <c r="AE116" i="1"/>
  <c r="AA11" i="2"/>
  <c r="Z12" i="2"/>
  <c r="AE99" i="1"/>
  <c r="AD100" i="1"/>
  <c r="B75" i="2"/>
  <c r="AF70" i="2"/>
  <c r="AE71" i="2"/>
  <c r="AF71" i="2" s="1"/>
  <c r="AG12" i="7"/>
  <c r="AH11" i="7"/>
  <c r="B119" i="1"/>
  <c r="AA78" i="2"/>
  <c r="Z79" i="2"/>
  <c r="AJ12" i="1"/>
  <c r="AI13" i="1"/>
  <c r="AA16" i="7"/>
  <c r="Z17" i="7"/>
  <c r="A17" i="7"/>
  <c r="AA33" i="2"/>
  <c r="Z34" i="2"/>
  <c r="AE14" i="7"/>
  <c r="AF14" i="7" s="1"/>
  <c r="AA51" i="11" l="1"/>
  <c r="Z52" i="11"/>
  <c r="AA53" i="9"/>
  <c r="Z54" i="9"/>
  <c r="AE158" i="1"/>
  <c r="AD159" i="1"/>
  <c r="A14" i="1"/>
  <c r="B18" i="7"/>
  <c r="AA17" i="7"/>
  <c r="Z18" i="7"/>
  <c r="AJ13" i="1"/>
  <c r="AI14" i="1"/>
  <c r="AE15" i="7"/>
  <c r="AF15" i="7" s="1"/>
  <c r="AA34" i="2"/>
  <c r="Z35" i="2"/>
  <c r="A18" i="7"/>
  <c r="B120" i="1"/>
  <c r="AG13" i="7"/>
  <c r="AH12" i="7"/>
  <c r="AE100" i="1"/>
  <c r="AD101" i="1"/>
  <c r="AE115" i="1"/>
  <c r="Z80" i="2"/>
  <c r="AA79" i="2"/>
  <c r="B76" i="2"/>
  <c r="AA12" i="2"/>
  <c r="Z13" i="2"/>
  <c r="AA52" i="11" l="1"/>
  <c r="Z53" i="11"/>
  <c r="AA54" i="9"/>
  <c r="Z55" i="9"/>
  <c r="Z56" i="9" s="1"/>
  <c r="AE159" i="1"/>
  <c r="AD160" i="1"/>
  <c r="B19" i="7"/>
  <c r="A15" i="1"/>
  <c r="A19" i="7"/>
  <c r="AA13" i="2"/>
  <c r="Z14" i="2"/>
  <c r="Z81" i="2"/>
  <c r="AA80" i="2"/>
  <c r="AD102" i="1"/>
  <c r="AE101" i="1"/>
  <c r="AH13" i="7"/>
  <c r="AG14" i="7"/>
  <c r="AE16" i="7"/>
  <c r="AF16" i="7" s="1"/>
  <c r="AA18" i="7"/>
  <c r="Z19" i="7"/>
  <c r="B121" i="1"/>
  <c r="Z36" i="2"/>
  <c r="AA35" i="2"/>
  <c r="AI15" i="1"/>
  <c r="AJ14" i="1"/>
  <c r="B77" i="2"/>
  <c r="AE114" i="1"/>
  <c r="AA53" i="11" l="1"/>
  <c r="Z54" i="11"/>
  <c r="AA55" i="9"/>
  <c r="AE160" i="1"/>
  <c r="AD161" i="1"/>
  <c r="A16" i="1"/>
  <c r="B20" i="7"/>
  <c r="AJ15" i="1"/>
  <c r="AI16" i="1"/>
  <c r="Z20" i="7"/>
  <c r="AA19" i="7"/>
  <c r="AE17" i="7"/>
  <c r="AF17" i="7" s="1"/>
  <c r="Z82" i="2"/>
  <c r="AA81" i="2"/>
  <c r="AE113" i="1"/>
  <c r="Z37" i="2"/>
  <c r="AA36" i="2"/>
  <c r="B78" i="2"/>
  <c r="B122" i="1"/>
  <c r="AA14" i="2"/>
  <c r="Z15" i="2"/>
  <c r="AG15" i="7"/>
  <c r="AH14" i="7"/>
  <c r="AD103" i="1"/>
  <c r="AE102" i="1"/>
  <c r="A20" i="7"/>
  <c r="AA54" i="11" l="1"/>
  <c r="Z55" i="11"/>
  <c r="AA56" i="9"/>
  <c r="Z57" i="9"/>
  <c r="Z58" i="9" s="1"/>
  <c r="AE161" i="1"/>
  <c r="AD162" i="1"/>
  <c r="B21" i="7"/>
  <c r="A17" i="1"/>
  <c r="AE103" i="1"/>
  <c r="AD104" i="1"/>
  <c r="AA20" i="7"/>
  <c r="Z21" i="7"/>
  <c r="AA15" i="2"/>
  <c r="Z16" i="2"/>
  <c r="B123" i="1"/>
  <c r="AA37" i="2"/>
  <c r="Z38" i="2"/>
  <c r="AE112" i="1"/>
  <c r="Z83" i="2"/>
  <c r="AA82" i="2"/>
  <c r="AH15" i="7"/>
  <c r="AG16" i="7"/>
  <c r="AJ16" i="1"/>
  <c r="AI17" i="1"/>
  <c r="A21" i="7"/>
  <c r="B79" i="2"/>
  <c r="AE18" i="7"/>
  <c r="AF18" i="7" s="1"/>
  <c r="AA55" i="11" l="1"/>
  <c r="Z56" i="11"/>
  <c r="AA57" i="9"/>
  <c r="AE162" i="1"/>
  <c r="AD163" i="1"/>
  <c r="A18" i="1"/>
  <c r="B22" i="7"/>
  <c r="AJ17" i="1"/>
  <c r="AI18" i="1"/>
  <c r="Z84" i="2"/>
  <c r="AA83" i="2"/>
  <c r="AE104" i="1"/>
  <c r="AD105" i="1"/>
  <c r="AA38" i="2"/>
  <c r="Z39" i="2"/>
  <c r="Z22" i="7"/>
  <c r="AA21" i="7"/>
  <c r="Z17" i="2"/>
  <c r="Z18" i="2"/>
  <c r="AA16" i="2"/>
  <c r="B80" i="2"/>
  <c r="B124" i="1"/>
  <c r="AE19" i="7"/>
  <c r="AF19" i="7" s="1"/>
  <c r="A22" i="7"/>
  <c r="AG17" i="7"/>
  <c r="AH16" i="7"/>
  <c r="AE111" i="1"/>
  <c r="AA56" i="11" l="1"/>
  <c r="Z57" i="11"/>
  <c r="AA58" i="9"/>
  <c r="Z59" i="9"/>
  <c r="AE163" i="1"/>
  <c r="AD164" i="1"/>
  <c r="B23" i="7"/>
  <c r="A19" i="1"/>
  <c r="A23" i="7"/>
  <c r="B81" i="2"/>
  <c r="Z23" i="7"/>
  <c r="AA22" i="7"/>
  <c r="Z85" i="2"/>
  <c r="AA84" i="2"/>
  <c r="AE20" i="7"/>
  <c r="AF20" i="7" s="1"/>
  <c r="AA18" i="2"/>
  <c r="Z19" i="2"/>
  <c r="B125" i="1"/>
  <c r="AA17" i="2"/>
  <c r="AI19" i="1"/>
  <c r="AJ18" i="1"/>
  <c r="AE110" i="1"/>
  <c r="AD106" i="1"/>
  <c r="AE105" i="1"/>
  <c r="AH17" i="7"/>
  <c r="AG18" i="7"/>
  <c r="Z40" i="2"/>
  <c r="AA39" i="2"/>
  <c r="AA57" i="11" l="1"/>
  <c r="Z58" i="11"/>
  <c r="AA59" i="9"/>
  <c r="Z60" i="9"/>
  <c r="AE164" i="1"/>
  <c r="AD165" i="1"/>
  <c r="A20" i="1"/>
  <c r="B24" i="7"/>
  <c r="AG19" i="7"/>
  <c r="AH18" i="7"/>
  <c r="B82" i="2"/>
  <c r="B126" i="1"/>
  <c r="Z86" i="2"/>
  <c r="AA85" i="2"/>
  <c r="A24" i="7"/>
  <c r="AA19" i="2"/>
  <c r="Z20" i="2"/>
  <c r="Z24" i="7"/>
  <c r="AA23" i="7"/>
  <c r="AA40" i="2"/>
  <c r="Z41" i="2"/>
  <c r="AE106" i="1"/>
  <c r="AD107" i="1"/>
  <c r="AI20" i="1"/>
  <c r="AJ19" i="1"/>
  <c r="AE21" i="7"/>
  <c r="AF21" i="7" s="1"/>
  <c r="AA58" i="11" l="1"/>
  <c r="Z59" i="11"/>
  <c r="AA60" i="9"/>
  <c r="Z61" i="9"/>
  <c r="Z62" i="9" s="1"/>
  <c r="Z63" i="9" s="1"/>
  <c r="AE165" i="1"/>
  <c r="AD166" i="1"/>
  <c r="B25" i="7"/>
  <c r="A21" i="1"/>
  <c r="AA41" i="2"/>
  <c r="Z42" i="2"/>
  <c r="Z87" i="2"/>
  <c r="AA86" i="2"/>
  <c r="A25" i="7"/>
  <c r="B83" i="2"/>
  <c r="AA24" i="7"/>
  <c r="Z25" i="7"/>
  <c r="AI21" i="1"/>
  <c r="AJ20" i="1"/>
  <c r="AA20" i="2"/>
  <c r="Z21" i="2"/>
  <c r="B127" i="1"/>
  <c r="AE22" i="7"/>
  <c r="AF22" i="7" s="1"/>
  <c r="AE107" i="1"/>
  <c r="AG20" i="7"/>
  <c r="AH19" i="7"/>
  <c r="AA59" i="11" l="1"/>
  <c r="Z60" i="11"/>
  <c r="AA63" i="9"/>
  <c r="Z64" i="9"/>
  <c r="AA61" i="9"/>
  <c r="AA62" i="9"/>
  <c r="AE166" i="1"/>
  <c r="AD167" i="1"/>
  <c r="A22" i="1"/>
  <c r="B26" i="7"/>
  <c r="B128" i="1"/>
  <c r="AA87" i="2"/>
  <c r="Z88" i="2"/>
  <c r="B84" i="2"/>
  <c r="AG21" i="7"/>
  <c r="AH20" i="7"/>
  <c r="AA25" i="7"/>
  <c r="Z26" i="7"/>
  <c r="AE23" i="7"/>
  <c r="AF23" i="7" s="1"/>
  <c r="Z22" i="2"/>
  <c r="AA21" i="2"/>
  <c r="AI22" i="1"/>
  <c r="AJ21" i="1"/>
  <c r="A26" i="7"/>
  <c r="Z43" i="2"/>
  <c r="AA42" i="2"/>
  <c r="AA60" i="11" l="1"/>
  <c r="Z61" i="11"/>
  <c r="AA64" i="9"/>
  <c r="Z65" i="9"/>
  <c r="AE167" i="1"/>
  <c r="AD168" i="1"/>
  <c r="B27" i="7"/>
  <c r="A23" i="1"/>
  <c r="Z44" i="2"/>
  <c r="AA43" i="2"/>
  <c r="AE24" i="7"/>
  <c r="AF24" i="7" s="1"/>
  <c r="B85" i="2"/>
  <c r="AJ22" i="1"/>
  <c r="AI23" i="1"/>
  <c r="Z27" i="7"/>
  <c r="AA26" i="7"/>
  <c r="B129" i="1"/>
  <c r="AG22" i="7"/>
  <c r="AH21" i="7"/>
  <c r="A27" i="7"/>
  <c r="Z23" i="2"/>
  <c r="AA22" i="2"/>
  <c r="Z89" i="2"/>
  <c r="AA88" i="2"/>
  <c r="AA61" i="11" l="1"/>
  <c r="Z62" i="11"/>
  <c r="AA65" i="9"/>
  <c r="Z66" i="9"/>
  <c r="AE168" i="1"/>
  <c r="AD169" i="1"/>
  <c r="AD170" i="1" s="1"/>
  <c r="A24" i="1"/>
  <c r="B28" i="7"/>
  <c r="AA23" i="2"/>
  <c r="Z24" i="2"/>
  <c r="AH22" i="7"/>
  <c r="AG23" i="7"/>
  <c r="Z28" i="7"/>
  <c r="AA27" i="7"/>
  <c r="B130" i="1"/>
  <c r="AI24" i="1"/>
  <c r="AJ23" i="1"/>
  <c r="AE25" i="7"/>
  <c r="AF25" i="7" s="1"/>
  <c r="Z45" i="2"/>
  <c r="AA44" i="2"/>
  <c r="Z90" i="2"/>
  <c r="AA89" i="2"/>
  <c r="A28" i="7"/>
  <c r="B86" i="2"/>
  <c r="AA62" i="11" l="1"/>
  <c r="Z63" i="11"/>
  <c r="Z67" i="9"/>
  <c r="AA66" i="9"/>
  <c r="AE170" i="1"/>
  <c r="AD171" i="1"/>
  <c r="AE169" i="1"/>
  <c r="B29" i="7"/>
  <c r="A25" i="1"/>
  <c r="AJ24" i="1"/>
  <c r="AI25" i="1"/>
  <c r="AE26" i="7"/>
  <c r="AF26" i="7" s="1"/>
  <c r="B131" i="1"/>
  <c r="AG24" i="7"/>
  <c r="AH23" i="7"/>
  <c r="Z91" i="2"/>
  <c r="AA90" i="2"/>
  <c r="B87" i="2"/>
  <c r="A29" i="7"/>
  <c r="Z46" i="2"/>
  <c r="AA45" i="2"/>
  <c r="Z29" i="7"/>
  <c r="AA28" i="7"/>
  <c r="AA24" i="2"/>
  <c r="Z25" i="2"/>
  <c r="AA63" i="11" l="1"/>
  <c r="Z64" i="11"/>
  <c r="Z68" i="9"/>
  <c r="AA67" i="9"/>
  <c r="AE171" i="1"/>
  <c r="AD172" i="1"/>
  <c r="A26" i="1"/>
  <c r="B30" i="7"/>
  <c r="Z92" i="2"/>
  <c r="AA91" i="2"/>
  <c r="AA46" i="2"/>
  <c r="Z47" i="2"/>
  <c r="AE27" i="7"/>
  <c r="AF27" i="7" s="1"/>
  <c r="AJ25" i="1"/>
  <c r="AI26" i="1"/>
  <c r="B88" i="2"/>
  <c r="B132" i="1"/>
  <c r="A30" i="7"/>
  <c r="AA25" i="2"/>
  <c r="Z30" i="7"/>
  <c r="AA29" i="7"/>
  <c r="AG25" i="7"/>
  <c r="AH24" i="7"/>
  <c r="AA64" i="11" l="1"/>
  <c r="Z65" i="11"/>
  <c r="AA68" i="9"/>
  <c r="Z69" i="9"/>
  <c r="AE172" i="1"/>
  <c r="AD173" i="1"/>
  <c r="A27" i="1"/>
  <c r="B31" i="7"/>
  <c r="Z31" i="7"/>
  <c r="AA30" i="7"/>
  <c r="A31" i="7"/>
  <c r="AJ26" i="1"/>
  <c r="AI27" i="1"/>
  <c r="Z48" i="2"/>
  <c r="AA47" i="2"/>
  <c r="AA92" i="2"/>
  <c r="Z93" i="2"/>
  <c r="AG26" i="7"/>
  <c r="AH25" i="7"/>
  <c r="B133" i="1"/>
  <c r="B89" i="2"/>
  <c r="AE28" i="7"/>
  <c r="AF28" i="7" s="1"/>
  <c r="AA65" i="11" l="1"/>
  <c r="Z66" i="11"/>
  <c r="AA69" i="9"/>
  <c r="Z70" i="9"/>
  <c r="AE173" i="1"/>
  <c r="AD174" i="1"/>
  <c r="A28" i="1"/>
  <c r="B32" i="7"/>
  <c r="AA31" i="7"/>
  <c r="Z32" i="7"/>
  <c r="AE29" i="7"/>
  <c r="AF29" i="7" s="1"/>
  <c r="Z49" i="2"/>
  <c r="AA48" i="2"/>
  <c r="A32" i="7"/>
  <c r="B90" i="2"/>
  <c r="B134" i="1"/>
  <c r="Z94" i="2"/>
  <c r="AA93" i="2"/>
  <c r="AG27" i="7"/>
  <c r="AH26" i="7"/>
  <c r="AJ27" i="1"/>
  <c r="AI28" i="1"/>
  <c r="AA66" i="11" l="1"/>
  <c r="Z67" i="11"/>
  <c r="AA70" i="9"/>
  <c r="Z71" i="9"/>
  <c r="AE174" i="1"/>
  <c r="AD175" i="1"/>
  <c r="B33" i="7"/>
  <c r="A29" i="1"/>
  <c r="B91" i="2"/>
  <c r="Z50" i="2"/>
  <c r="AA49" i="2"/>
  <c r="AE30" i="7"/>
  <c r="AF30" i="7" s="1"/>
  <c r="Z33" i="7"/>
  <c r="AA32" i="7"/>
  <c r="AI29" i="1"/>
  <c r="AJ28" i="1"/>
  <c r="AA94" i="2"/>
  <c r="Z95" i="2"/>
  <c r="B135" i="1"/>
  <c r="AG28" i="7"/>
  <c r="AH27" i="7"/>
  <c r="A33" i="7"/>
  <c r="AA67" i="11" l="1"/>
  <c r="Z68" i="11"/>
  <c r="AA71" i="9"/>
  <c r="Z72" i="9"/>
  <c r="AE175" i="1"/>
  <c r="AD176" i="1"/>
  <c r="AD177" i="1" s="1"/>
  <c r="A30" i="1"/>
  <c r="B34" i="7"/>
  <c r="B92" i="2"/>
  <c r="Z51" i="2"/>
  <c r="AA50" i="2"/>
  <c r="A34" i="7"/>
  <c r="B136" i="1"/>
  <c r="AE31" i="7"/>
  <c r="AF31" i="7" s="1"/>
  <c r="Z96" i="2"/>
  <c r="AA95" i="2"/>
  <c r="AI30" i="1"/>
  <c r="AJ29" i="1"/>
  <c r="AG29" i="7"/>
  <c r="AH28" i="7"/>
  <c r="Z34" i="7"/>
  <c r="AA33" i="7"/>
  <c r="AA68" i="11" l="1"/>
  <c r="Z69" i="11"/>
  <c r="AA72" i="9"/>
  <c r="Z73" i="9"/>
  <c r="AE177" i="1"/>
  <c r="AD178" i="1"/>
  <c r="AE176" i="1"/>
  <c r="A31" i="1"/>
  <c r="B35" i="7"/>
  <c r="AI31" i="1"/>
  <c r="AJ30" i="1"/>
  <c r="AE32" i="7"/>
  <c r="AF32" i="7" s="1"/>
  <c r="B137" i="1"/>
  <c r="AG30" i="7"/>
  <c r="AH29" i="7"/>
  <c r="B93" i="2"/>
  <c r="AA34" i="7"/>
  <c r="Z35" i="7"/>
  <c r="AA96" i="2"/>
  <c r="Z97" i="2"/>
  <c r="A35" i="7"/>
  <c r="Z52" i="2"/>
  <c r="AA51" i="2"/>
  <c r="AA69" i="11" l="1"/>
  <c r="Z70" i="11"/>
  <c r="AA73" i="9"/>
  <c r="Z74" i="9"/>
  <c r="AE178" i="1"/>
  <c r="AD179" i="1"/>
  <c r="B36" i="7"/>
  <c r="A32" i="1"/>
  <c r="B138" i="1"/>
  <c r="AH30" i="7"/>
  <c r="AG31" i="7"/>
  <c r="AA52" i="2"/>
  <c r="Z53" i="2"/>
  <c r="B94" i="2"/>
  <c r="AE33" i="7"/>
  <c r="AF33" i="7" s="1"/>
  <c r="AA35" i="7"/>
  <c r="Z36" i="7"/>
  <c r="A36" i="7"/>
  <c r="Z98" i="2"/>
  <c r="AA97" i="2"/>
  <c r="AI32" i="1"/>
  <c r="AJ31" i="1"/>
  <c r="AA70" i="11" l="1"/>
  <c r="Z71" i="11"/>
  <c r="AA74" i="9"/>
  <c r="Z75" i="9"/>
  <c r="AE179" i="1"/>
  <c r="AD180" i="1"/>
  <c r="A33" i="1"/>
  <c r="B37" i="7"/>
  <c r="B139" i="1"/>
  <c r="B95" i="2"/>
  <c r="AJ32" i="1"/>
  <c r="AI33" i="1"/>
  <c r="A37" i="7"/>
  <c r="AA53" i="2"/>
  <c r="Z54" i="2"/>
  <c r="AG32" i="7"/>
  <c r="AH31" i="7"/>
  <c r="Z99" i="2"/>
  <c r="Z100" i="2" s="1"/>
  <c r="AA98" i="2"/>
  <c r="AE34" i="7"/>
  <c r="AF34" i="7" s="1"/>
  <c r="Z37" i="7"/>
  <c r="AA36" i="7"/>
  <c r="AA71" i="11" l="1"/>
  <c r="Z72" i="11"/>
  <c r="AA75" i="9"/>
  <c r="Z76" i="9"/>
  <c r="AE180" i="1"/>
  <c r="AD181" i="1"/>
  <c r="B38" i="7"/>
  <c r="A34" i="1"/>
  <c r="B140" i="1"/>
  <c r="AA100" i="2"/>
  <c r="Z101" i="2"/>
  <c r="AA54" i="2"/>
  <c r="Z55" i="2"/>
  <c r="AE35" i="7"/>
  <c r="AF35" i="7" s="1"/>
  <c r="AA99" i="2"/>
  <c r="A38" i="7"/>
  <c r="AJ33" i="1"/>
  <c r="AI34" i="1"/>
  <c r="Z38" i="7"/>
  <c r="AA37" i="7"/>
  <c r="AG33" i="7"/>
  <c r="AH32" i="7"/>
  <c r="B96" i="2"/>
  <c r="AA72" i="11" l="1"/>
  <c r="Z73" i="11"/>
  <c r="AA76" i="9"/>
  <c r="Z77" i="9"/>
  <c r="AE181" i="1"/>
  <c r="AD182" i="1"/>
  <c r="A35" i="1"/>
  <c r="B39" i="7"/>
  <c r="B141" i="1"/>
  <c r="AA101" i="2"/>
  <c r="Z102" i="2"/>
  <c r="A39" i="7"/>
  <c r="AA38" i="7"/>
  <c r="Z39" i="7"/>
  <c r="AE36" i="7"/>
  <c r="AF36" i="7" s="1"/>
  <c r="Z56" i="2"/>
  <c r="AA55" i="2"/>
  <c r="AG34" i="7"/>
  <c r="AH33" i="7"/>
  <c r="AJ34" i="1"/>
  <c r="AI35" i="1"/>
  <c r="B97" i="2"/>
  <c r="AA73" i="11" l="1"/>
  <c r="Z74" i="11"/>
  <c r="AA77" i="9"/>
  <c r="Z78" i="9"/>
  <c r="AD183" i="1"/>
  <c r="AE182" i="1"/>
  <c r="A36" i="1"/>
  <c r="B40" i="7"/>
  <c r="B142" i="1"/>
  <c r="AA102" i="2"/>
  <c r="Z103" i="2"/>
  <c r="Z104" i="2" s="1"/>
  <c r="Z57" i="2"/>
  <c r="AA56" i="2"/>
  <c r="B98" i="2"/>
  <c r="AH34" i="7"/>
  <c r="AG35" i="7"/>
  <c r="AE37" i="7"/>
  <c r="AF37" i="7" s="1"/>
  <c r="AA39" i="7"/>
  <c r="Z40" i="7"/>
  <c r="AJ35" i="1"/>
  <c r="AI36" i="1"/>
  <c r="A40" i="7"/>
  <c r="AA74" i="11" l="1"/>
  <c r="Z75" i="11"/>
  <c r="AA78" i="9"/>
  <c r="Z79" i="9"/>
  <c r="AE183" i="1"/>
  <c r="AD184" i="1"/>
  <c r="AE184" i="1" s="1"/>
  <c r="Z105" i="2"/>
  <c r="AA104" i="2"/>
  <c r="A37" i="1"/>
  <c r="B41" i="7"/>
  <c r="B143" i="1"/>
  <c r="AA103" i="2"/>
  <c r="B99" i="2"/>
  <c r="AG36" i="7"/>
  <c r="AH35" i="7"/>
  <c r="AI37" i="1"/>
  <c r="AJ36" i="1"/>
  <c r="Z41" i="7"/>
  <c r="AA40" i="7"/>
  <c r="AE38" i="7"/>
  <c r="AF38" i="7" s="1"/>
  <c r="A41" i="7"/>
  <c r="AA57" i="2"/>
  <c r="Z58" i="2"/>
  <c r="AA75" i="11" l="1"/>
  <c r="Z76" i="11"/>
  <c r="AA79" i="9"/>
  <c r="Z80" i="9"/>
  <c r="AA105" i="2"/>
  <c r="Z106" i="2"/>
  <c r="A38" i="1"/>
  <c r="B42" i="7"/>
  <c r="B144" i="1"/>
  <c r="B100" i="2"/>
  <c r="A42" i="7"/>
  <c r="AI38" i="1"/>
  <c r="AJ37" i="1"/>
  <c r="AG37" i="7"/>
  <c r="AH36" i="7"/>
  <c r="Z42" i="7"/>
  <c r="AA41" i="7"/>
  <c r="Z59" i="2"/>
  <c r="Z60" i="2" s="1"/>
  <c r="Z61" i="2" s="1"/>
  <c r="AA58" i="2"/>
  <c r="AE39" i="7"/>
  <c r="AF39" i="7" s="1"/>
  <c r="AA76" i="11" l="1"/>
  <c r="Z77" i="11"/>
  <c r="AA80" i="9"/>
  <c r="Z81" i="9"/>
  <c r="AA106" i="2"/>
  <c r="Z107" i="2"/>
  <c r="A39" i="1"/>
  <c r="B43" i="7"/>
  <c r="B145" i="1"/>
  <c r="B101" i="2"/>
  <c r="AE40" i="7"/>
  <c r="AF40" i="7" s="1"/>
  <c r="AA59" i="2"/>
  <c r="AG38" i="7"/>
  <c r="AH37" i="7"/>
  <c r="AA42" i="7"/>
  <c r="Z43" i="7"/>
  <c r="A43" i="7"/>
  <c r="AJ38" i="1"/>
  <c r="AI39" i="1"/>
  <c r="AA77" i="11" l="1"/>
  <c r="Z78" i="11"/>
  <c r="AA81" i="9"/>
  <c r="Z82" i="9"/>
  <c r="AA107" i="2"/>
  <c r="Z108" i="2"/>
  <c r="A40" i="1"/>
  <c r="B44" i="7"/>
  <c r="B146" i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02" i="2"/>
  <c r="AA43" i="7"/>
  <c r="Z44" i="7"/>
  <c r="AA60" i="2"/>
  <c r="AH38" i="7"/>
  <c r="AG39" i="7"/>
  <c r="AE41" i="7"/>
  <c r="AF41" i="7" s="1"/>
  <c r="AJ39" i="1"/>
  <c r="AI40" i="1"/>
  <c r="A44" i="7"/>
  <c r="AA78" i="11" l="1"/>
  <c r="Z79" i="11"/>
  <c r="AA82" i="9"/>
  <c r="Z83" i="9"/>
  <c r="AA108" i="2"/>
  <c r="Z109" i="2"/>
  <c r="A41" i="1"/>
  <c r="B45" i="7"/>
  <c r="B103" i="2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A45" i="7"/>
  <c r="AG40" i="7"/>
  <c r="AH39" i="7"/>
  <c r="Z62" i="2"/>
  <c r="AA61" i="2"/>
  <c r="Z45" i="7"/>
  <c r="AA44" i="7"/>
  <c r="AE42" i="7"/>
  <c r="AF42" i="7" s="1"/>
  <c r="AJ40" i="1"/>
  <c r="AI41" i="1"/>
  <c r="AA79" i="11" l="1"/>
  <c r="Z80" i="11"/>
  <c r="AA83" i="9"/>
  <c r="Z84" i="9"/>
  <c r="AA109" i="2"/>
  <c r="Z110" i="2"/>
  <c r="B46" i="7"/>
  <c r="A42" i="1"/>
  <c r="Z46" i="7"/>
  <c r="AA45" i="7"/>
  <c r="AA62" i="2"/>
  <c r="Z63" i="2"/>
  <c r="AI42" i="1"/>
  <c r="AJ41" i="1"/>
  <c r="A46" i="7"/>
  <c r="AE43" i="7"/>
  <c r="AF43" i="7" s="1"/>
  <c r="AG41" i="7"/>
  <c r="AH40" i="7"/>
  <c r="AA80" i="11" l="1"/>
  <c r="Z81" i="11"/>
  <c r="AA84" i="9"/>
  <c r="Z85" i="9"/>
  <c r="AA110" i="2"/>
  <c r="Z111" i="2"/>
  <c r="B47" i="7"/>
  <c r="A43" i="1"/>
  <c r="AA46" i="7"/>
  <c r="Z47" i="7"/>
  <c r="Z64" i="2"/>
  <c r="AA63" i="2"/>
  <c r="AG42" i="7"/>
  <c r="AH41" i="7"/>
  <c r="A47" i="7"/>
  <c r="AE44" i="7"/>
  <c r="AF44" i="7" s="1"/>
  <c r="AI43" i="1"/>
  <c r="AJ42" i="1"/>
  <c r="Z82" i="11" l="1"/>
  <c r="AA81" i="11"/>
  <c r="AA85" i="9"/>
  <c r="Z86" i="9"/>
  <c r="AA111" i="2"/>
  <c r="Z112" i="2"/>
  <c r="A44" i="1"/>
  <c r="B48" i="7"/>
  <c r="AI44" i="1"/>
  <c r="AJ43" i="1"/>
  <c r="AH42" i="7"/>
  <c r="AG43" i="7"/>
  <c r="Z65" i="2"/>
  <c r="AA64" i="2"/>
  <c r="AE45" i="7"/>
  <c r="AF45" i="7" s="1"/>
  <c r="A48" i="7"/>
  <c r="AA47" i="7"/>
  <c r="Z48" i="7"/>
  <c r="AA82" i="11" l="1"/>
  <c r="Z83" i="11"/>
  <c r="AA86" i="9"/>
  <c r="Z87" i="9"/>
  <c r="AA112" i="2"/>
  <c r="Z113" i="2"/>
  <c r="A45" i="1"/>
  <c r="B49" i="7"/>
  <c r="Z49" i="7"/>
  <c r="AA48" i="7"/>
  <c r="AA65" i="2"/>
  <c r="A49" i="7"/>
  <c r="AG44" i="7"/>
  <c r="AH43" i="7"/>
  <c r="AE46" i="7"/>
  <c r="AF46" i="7" s="1"/>
  <c r="AJ44" i="1"/>
  <c r="AI45" i="1"/>
  <c r="AA83" i="11" l="1"/>
  <c r="Z84" i="11"/>
  <c r="AA87" i="9"/>
  <c r="Z88" i="9"/>
  <c r="Z114" i="2"/>
  <c r="Z115" i="2" s="1"/>
  <c r="Z116" i="2" s="1"/>
  <c r="AA113" i="2"/>
  <c r="A46" i="1"/>
  <c r="B50" i="7"/>
  <c r="AJ45" i="1"/>
  <c r="AI46" i="1"/>
  <c r="AA49" i="7"/>
  <c r="Z50" i="7"/>
  <c r="A50" i="7"/>
  <c r="AE47" i="7"/>
  <c r="AF47" i="7" s="1"/>
  <c r="AG45" i="7"/>
  <c r="AH44" i="7"/>
  <c r="AA84" i="11" l="1"/>
  <c r="Z85" i="11"/>
  <c r="AA88" i="9"/>
  <c r="Z89" i="9"/>
  <c r="AA116" i="2"/>
  <c r="Z117" i="2"/>
  <c r="AA114" i="2"/>
  <c r="AA115" i="2"/>
  <c r="A47" i="1"/>
  <c r="B51" i="7"/>
  <c r="AE48" i="7"/>
  <c r="AF48" i="7" s="1"/>
  <c r="Z51" i="7"/>
  <c r="AA50" i="7"/>
  <c r="AJ46" i="1"/>
  <c r="AI47" i="1"/>
  <c r="A51" i="7"/>
  <c r="AG46" i="7"/>
  <c r="AH45" i="7"/>
  <c r="AA85" i="11" l="1"/>
  <c r="Z86" i="11"/>
  <c r="AA89" i="9"/>
  <c r="Z90" i="9"/>
  <c r="AA117" i="2"/>
  <c r="Z118" i="2"/>
  <c r="B52" i="7"/>
  <c r="A48" i="1"/>
  <c r="AJ47" i="1"/>
  <c r="AI48" i="1"/>
  <c r="AA51" i="7"/>
  <c r="Z52" i="7"/>
  <c r="Z53" i="7" s="1"/>
  <c r="AE49" i="7"/>
  <c r="AF49" i="7" s="1"/>
  <c r="AH46" i="7"/>
  <c r="AG47" i="7"/>
  <c r="A52" i="7"/>
  <c r="AA86" i="11" l="1"/>
  <c r="Z87" i="11"/>
  <c r="AA90" i="9"/>
  <c r="Z91" i="9"/>
  <c r="AA118" i="2"/>
  <c r="Z119" i="2"/>
  <c r="B53" i="7"/>
  <c r="A49" i="1"/>
  <c r="A53" i="7"/>
  <c r="Z54" i="7"/>
  <c r="AA53" i="7"/>
  <c r="AG48" i="7"/>
  <c r="AH47" i="7"/>
  <c r="AA52" i="7"/>
  <c r="AE50" i="7"/>
  <c r="AF50" i="7" s="1"/>
  <c r="AJ48" i="1"/>
  <c r="AI49" i="1"/>
  <c r="AA87" i="11" l="1"/>
  <c r="Z88" i="11"/>
  <c r="AA88" i="11" s="1"/>
  <c r="AA91" i="9"/>
  <c r="Z92" i="9"/>
  <c r="AA119" i="2"/>
  <c r="Z120" i="2"/>
  <c r="A50" i="1"/>
  <c r="B54" i="7"/>
  <c r="A54" i="7"/>
  <c r="AA54" i="7"/>
  <c r="Z55" i="7"/>
  <c r="AI50" i="1"/>
  <c r="AJ49" i="1"/>
  <c r="AE51" i="7"/>
  <c r="AF51" i="7" s="1"/>
  <c r="AG49" i="7"/>
  <c r="AH48" i="7"/>
  <c r="AA92" i="9" l="1"/>
  <c r="Z93" i="9"/>
  <c r="AA120" i="2"/>
  <c r="Z121" i="2"/>
  <c r="B55" i="7"/>
  <c r="A51" i="1"/>
  <c r="A55" i="7"/>
  <c r="AA55" i="7"/>
  <c r="Z56" i="7"/>
  <c r="Z57" i="7" s="1"/>
  <c r="Z58" i="7" s="1"/>
  <c r="Z59" i="7" s="1"/>
  <c r="Z60" i="7" s="1"/>
  <c r="AJ50" i="1"/>
  <c r="AI51" i="1"/>
  <c r="AE52" i="7"/>
  <c r="AF52" i="7" s="1"/>
  <c r="AH49" i="7"/>
  <c r="AG50" i="7"/>
  <c r="AA93" i="9" l="1"/>
  <c r="Z94" i="9"/>
  <c r="AA121" i="2"/>
  <c r="Z122" i="2"/>
  <c r="Z61" i="7"/>
  <c r="AA60" i="7"/>
  <c r="A52" i="1"/>
  <c r="B56" i="7"/>
  <c r="A56" i="7"/>
  <c r="AE53" i="7"/>
  <c r="AF53" i="7" s="1"/>
  <c r="AA56" i="7"/>
  <c r="AI52" i="1"/>
  <c r="AJ51" i="1"/>
  <c r="AG51" i="7"/>
  <c r="AH50" i="7"/>
  <c r="AA94" i="9" l="1"/>
  <c r="Z95" i="9"/>
  <c r="AA122" i="2"/>
  <c r="Z123" i="2"/>
  <c r="AA61" i="7"/>
  <c r="Z62" i="7"/>
  <c r="B57" i="7"/>
  <c r="A53" i="1"/>
  <c r="A57" i="7"/>
  <c r="AA57" i="7"/>
  <c r="AA59" i="7"/>
  <c r="AE54" i="7"/>
  <c r="AF54" i="7" s="1"/>
  <c r="AH51" i="7"/>
  <c r="AG52" i="7"/>
  <c r="AI53" i="1"/>
  <c r="AJ52" i="1"/>
  <c r="AA95" i="9" l="1"/>
  <c r="Z96" i="9"/>
  <c r="AA123" i="2"/>
  <c r="Z124" i="2"/>
  <c r="AA62" i="7"/>
  <c r="Z63" i="7"/>
  <c r="B58" i="7"/>
  <c r="B59" i="7" s="1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A54" i="1"/>
  <c r="AH52" i="7"/>
  <c r="AG53" i="7"/>
  <c r="AE55" i="7"/>
  <c r="AF55" i="7" s="1"/>
  <c r="AA58" i="7"/>
  <c r="A58" i="7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I54" i="1"/>
  <c r="AJ53" i="1"/>
  <c r="AA96" i="9" l="1"/>
  <c r="Z97" i="9"/>
  <c r="AA124" i="2"/>
  <c r="Z125" i="2"/>
  <c r="AA63" i="7"/>
  <c r="Z64" i="7"/>
  <c r="A55" i="1"/>
  <c r="AE56" i="7"/>
  <c r="AF56" i="7" s="1"/>
  <c r="AH53" i="7"/>
  <c r="AG54" i="7"/>
  <c r="AI55" i="1"/>
  <c r="AJ54" i="1"/>
  <c r="AA97" i="9" l="1"/>
  <c r="Z98" i="9"/>
  <c r="AA125" i="2"/>
  <c r="Z126" i="2"/>
  <c r="AA64" i="7"/>
  <c r="Z65" i="7"/>
  <c r="A56" i="1"/>
  <c r="AE57" i="7"/>
  <c r="AF57" i="7" s="1"/>
  <c r="AG55" i="7"/>
  <c r="AH54" i="7"/>
  <c r="AI56" i="1"/>
  <c r="AJ55" i="1"/>
  <c r="AA98" i="9" l="1"/>
  <c r="Z99" i="9"/>
  <c r="AA126" i="2"/>
  <c r="Z127" i="2"/>
  <c r="AA65" i="7"/>
  <c r="Z66" i="7"/>
  <c r="A57" i="1"/>
  <c r="AH55" i="7"/>
  <c r="AG56" i="7"/>
  <c r="AE58" i="7"/>
  <c r="AI57" i="1"/>
  <c r="AJ56" i="1"/>
  <c r="AA99" i="9" l="1"/>
  <c r="Z100" i="9"/>
  <c r="AA127" i="2"/>
  <c r="Z128" i="2"/>
  <c r="AA66" i="7"/>
  <c r="Z67" i="7"/>
  <c r="AE59" i="7"/>
  <c r="AF59" i="7" s="1"/>
  <c r="AF58" i="7"/>
  <c r="A58" i="1"/>
  <c r="AH56" i="7"/>
  <c r="AG57" i="7"/>
  <c r="AJ57" i="1"/>
  <c r="AI58" i="1"/>
  <c r="AA100" i="9" l="1"/>
  <c r="Z101" i="9"/>
  <c r="AA128" i="2"/>
  <c r="Z129" i="2"/>
  <c r="AA67" i="7"/>
  <c r="Z68" i="7"/>
  <c r="A59" i="1"/>
  <c r="AH57" i="7"/>
  <c r="AG58" i="7"/>
  <c r="AH58" i="7" s="1"/>
  <c r="AJ58" i="1"/>
  <c r="AI59" i="1"/>
  <c r="AA101" i="9" l="1"/>
  <c r="Z102" i="9"/>
  <c r="AA129" i="2"/>
  <c r="Z130" i="2"/>
  <c r="AA68" i="7"/>
  <c r="Z69" i="7"/>
  <c r="A60" i="1"/>
  <c r="AI60" i="1"/>
  <c r="AJ59" i="1"/>
  <c r="AA102" i="9" l="1"/>
  <c r="Z103" i="9"/>
  <c r="AA130" i="2"/>
  <c r="Z131" i="2"/>
  <c r="Z132" i="2" s="1"/>
  <c r="Z133" i="2" s="1"/>
  <c r="Z134" i="2" s="1"/>
  <c r="AA69" i="7"/>
  <c r="Z70" i="7"/>
  <c r="A61" i="1"/>
  <c r="AJ60" i="1"/>
  <c r="AI61" i="1"/>
  <c r="AA103" i="9" l="1"/>
  <c r="Z104" i="9"/>
  <c r="AA134" i="2"/>
  <c r="Z135" i="2"/>
  <c r="AA131" i="2"/>
  <c r="AA70" i="7"/>
  <c r="Z71" i="7"/>
  <c r="A62" i="1"/>
  <c r="AI62" i="1"/>
  <c r="AJ61" i="1"/>
  <c r="AA104" i="9" l="1"/>
  <c r="Z105" i="9"/>
  <c r="AA135" i="2"/>
  <c r="Z136" i="2"/>
  <c r="AA132" i="2"/>
  <c r="AA133" i="2"/>
  <c r="AA71" i="7"/>
  <c r="Z72" i="7"/>
  <c r="A63" i="1"/>
  <c r="AJ62" i="1"/>
  <c r="AI63" i="1"/>
  <c r="AA105" i="9" l="1"/>
  <c r="Z106" i="9"/>
  <c r="AA136" i="2"/>
  <c r="Z137" i="2"/>
  <c r="AA72" i="7"/>
  <c r="Z73" i="7"/>
  <c r="A64" i="1"/>
  <c r="AI64" i="1"/>
  <c r="AJ63" i="1"/>
  <c r="AA106" i="9" l="1"/>
  <c r="Z107" i="9"/>
  <c r="AA137" i="2"/>
  <c r="Z138" i="2"/>
  <c r="AA73" i="7"/>
  <c r="Z74" i="7"/>
  <c r="A65" i="1"/>
  <c r="AJ64" i="1"/>
  <c r="AI65" i="1"/>
  <c r="AA107" i="9" l="1"/>
  <c r="Z108" i="9"/>
  <c r="AA138" i="2"/>
  <c r="Z139" i="2"/>
  <c r="AA74" i="7"/>
  <c r="Z75" i="7"/>
  <c r="A66" i="1"/>
  <c r="AJ65" i="1"/>
  <c r="AI66" i="1"/>
  <c r="Z109" i="9" l="1"/>
  <c r="AA108" i="9"/>
  <c r="AA139" i="2"/>
  <c r="Z140" i="2"/>
  <c r="AA75" i="7"/>
  <c r="Z76" i="7"/>
  <c r="A67" i="1"/>
  <c r="AJ66" i="1"/>
  <c r="AI67" i="1"/>
  <c r="AA109" i="9" l="1"/>
  <c r="Z110" i="9"/>
  <c r="AA140" i="2"/>
  <c r="Z141" i="2"/>
  <c r="AA76" i="7"/>
  <c r="Z77" i="7"/>
  <c r="A68" i="1"/>
  <c r="AI68" i="1"/>
  <c r="AJ67" i="1"/>
  <c r="AA110" i="9" l="1"/>
  <c r="Z111" i="9"/>
  <c r="AA141" i="2"/>
  <c r="Z142" i="2"/>
  <c r="AA77" i="7"/>
  <c r="Z78" i="7"/>
  <c r="A69" i="1"/>
  <c r="AJ68" i="1"/>
  <c r="AI69" i="1"/>
  <c r="AA111" i="9" l="1"/>
  <c r="Z112" i="9"/>
  <c r="AA142" i="2"/>
  <c r="Z143" i="2"/>
  <c r="AA78" i="7"/>
  <c r="Z79" i="7"/>
  <c r="A70" i="1"/>
  <c r="AI70" i="1"/>
  <c r="AJ69" i="1"/>
  <c r="AA112" i="9" l="1"/>
  <c r="Z113" i="9"/>
  <c r="AA143" i="2"/>
  <c r="Z144" i="2"/>
  <c r="AA79" i="7"/>
  <c r="Z80" i="7"/>
  <c r="A71" i="1"/>
  <c r="AI71" i="1"/>
  <c r="AJ70" i="1"/>
  <c r="AA113" i="9" l="1"/>
  <c r="Z114" i="9"/>
  <c r="AA144" i="2"/>
  <c r="Z145" i="2"/>
  <c r="AA80" i="7"/>
  <c r="Z81" i="7"/>
  <c r="Z82" i="7" s="1"/>
  <c r="A72" i="1"/>
  <c r="AJ71" i="1"/>
  <c r="AI72" i="1"/>
  <c r="AA114" i="9" l="1"/>
  <c r="Z115" i="9"/>
  <c r="AA115" i="9" s="1"/>
  <c r="AA145" i="2"/>
  <c r="Z146" i="2"/>
  <c r="AA81" i="7"/>
  <c r="A73" i="1"/>
  <c r="AJ72" i="1"/>
  <c r="AI73" i="1"/>
  <c r="AA146" i="2" l="1"/>
  <c r="Z147" i="2"/>
  <c r="AA82" i="7"/>
  <c r="Z83" i="7"/>
  <c r="A74" i="1"/>
  <c r="AI74" i="1"/>
  <c r="AJ73" i="1"/>
  <c r="AA147" i="2" l="1"/>
  <c r="Z148" i="2"/>
  <c r="AA83" i="7"/>
  <c r="Z84" i="7"/>
  <c r="A75" i="1"/>
  <c r="AJ74" i="1"/>
  <c r="AI75" i="1"/>
  <c r="AA148" i="2" l="1"/>
  <c r="Z149" i="2"/>
  <c r="AA84" i="7"/>
  <c r="Z85" i="7"/>
  <c r="A76" i="1"/>
  <c r="AI76" i="1"/>
  <c r="AJ75" i="1"/>
  <c r="AA149" i="2" l="1"/>
  <c r="Z150" i="2"/>
  <c r="AA85" i="7"/>
  <c r="Z86" i="7"/>
  <c r="A77" i="1"/>
  <c r="AJ76" i="1"/>
  <c r="AI77" i="1"/>
  <c r="AA150" i="2" l="1"/>
  <c r="Z151" i="2"/>
  <c r="AA86" i="7"/>
  <c r="Z87" i="7"/>
  <c r="A78" i="1"/>
  <c r="AI78" i="1"/>
  <c r="AJ77" i="1"/>
  <c r="AA151" i="2" l="1"/>
  <c r="Z152" i="2"/>
  <c r="AA87" i="7"/>
  <c r="Z88" i="7"/>
  <c r="A79" i="1"/>
  <c r="AJ78" i="1"/>
  <c r="AI79" i="1"/>
  <c r="AA152" i="2" l="1"/>
  <c r="Z153" i="2"/>
  <c r="AA88" i="7"/>
  <c r="Z89" i="7"/>
  <c r="A80" i="1"/>
  <c r="AI80" i="1"/>
  <c r="AJ79" i="1"/>
  <c r="AA153" i="2" l="1"/>
  <c r="Z154" i="2"/>
  <c r="AA89" i="7"/>
  <c r="Z90" i="7"/>
  <c r="A81" i="1"/>
  <c r="AJ80" i="1"/>
  <c r="AI81" i="1"/>
  <c r="AA154" i="2" l="1"/>
  <c r="Z155" i="2"/>
  <c r="AA90" i="7"/>
  <c r="Z91" i="7"/>
  <c r="A82" i="1"/>
  <c r="AI82" i="1"/>
  <c r="AJ81" i="1"/>
  <c r="AA155" i="2" l="1"/>
  <c r="Z156" i="2"/>
  <c r="AA91" i="7"/>
  <c r="Z92" i="7"/>
  <c r="A83" i="1"/>
  <c r="AJ82" i="1"/>
  <c r="AI83" i="1"/>
  <c r="AA156" i="2" l="1"/>
  <c r="Z157" i="2"/>
  <c r="AA92" i="7"/>
  <c r="Z93" i="7"/>
  <c r="A84" i="1"/>
  <c r="AI84" i="1"/>
  <c r="AJ83" i="1"/>
  <c r="AA157" i="2" l="1"/>
  <c r="Z158" i="2"/>
  <c r="AA93" i="7"/>
  <c r="Z94" i="7"/>
  <c r="A85" i="1"/>
  <c r="AJ84" i="1"/>
  <c r="AI85" i="1"/>
  <c r="AA158" i="2" l="1"/>
  <c r="Z159" i="2"/>
  <c r="AA94" i="7"/>
  <c r="Z95" i="7"/>
  <c r="A86" i="1"/>
  <c r="AI86" i="1"/>
  <c r="AJ85" i="1"/>
  <c r="AA159" i="2" l="1"/>
  <c r="Z160" i="2"/>
  <c r="AA95" i="7"/>
  <c r="Z96" i="7"/>
  <c r="A87" i="1"/>
  <c r="AJ86" i="1"/>
  <c r="AI87" i="1"/>
  <c r="AA160" i="2" l="1"/>
  <c r="Z161" i="2"/>
  <c r="AA96" i="7"/>
  <c r="Z97" i="7"/>
  <c r="A88" i="1"/>
  <c r="AI88" i="1"/>
  <c r="AJ87" i="1"/>
  <c r="AA161" i="2" l="1"/>
  <c r="Z162" i="2"/>
  <c r="AA97" i="7"/>
  <c r="Z98" i="7"/>
  <c r="A89" i="1"/>
  <c r="AJ88" i="1"/>
  <c r="AI89" i="1"/>
  <c r="AA162" i="2" l="1"/>
  <c r="Z163" i="2"/>
  <c r="AA98" i="7"/>
  <c r="Z99" i="7"/>
  <c r="A90" i="1"/>
  <c r="AI90" i="1"/>
  <c r="AJ89" i="1"/>
  <c r="AA163" i="2" l="1"/>
  <c r="Z164" i="2"/>
  <c r="AA99" i="7"/>
  <c r="Z100" i="7"/>
  <c r="A91" i="1"/>
  <c r="AI91" i="1"/>
  <c r="AJ90" i="1"/>
  <c r="AA164" i="2" l="1"/>
  <c r="Z165" i="2"/>
  <c r="AA100" i="7"/>
  <c r="Z101" i="7"/>
  <c r="A92" i="1"/>
  <c r="AI92" i="1"/>
  <c r="AJ91" i="1"/>
  <c r="AA165" i="2" l="1"/>
  <c r="Z166" i="2"/>
  <c r="AA101" i="7"/>
  <c r="Z102" i="7"/>
  <c r="A93" i="1"/>
  <c r="AI93" i="1"/>
  <c r="AJ92" i="1"/>
  <c r="AA166" i="2" l="1"/>
  <c r="Z167" i="2"/>
  <c r="AA102" i="7"/>
  <c r="Z103" i="7"/>
  <c r="A94" i="1"/>
  <c r="AJ93" i="1"/>
  <c r="AI94" i="1"/>
  <c r="AA167" i="2" l="1"/>
  <c r="Z168" i="2"/>
  <c r="AA103" i="7"/>
  <c r="Z104" i="7"/>
  <c r="A95" i="1"/>
  <c r="AJ94" i="1"/>
  <c r="AI95" i="1"/>
  <c r="AA168" i="2" l="1"/>
  <c r="Z169" i="2"/>
  <c r="AA104" i="7"/>
  <c r="Z105" i="7"/>
  <c r="A96" i="1"/>
  <c r="AI96" i="1"/>
  <c r="AJ95" i="1"/>
  <c r="AA169" i="2" l="1"/>
  <c r="Z170" i="2"/>
  <c r="AA105" i="7"/>
  <c r="Z106" i="7"/>
  <c r="A97" i="1"/>
  <c r="AJ96" i="1"/>
  <c r="AI97" i="1"/>
  <c r="AA170" i="2" l="1"/>
  <c r="Z171" i="2"/>
  <c r="AA106" i="7"/>
  <c r="Z107" i="7"/>
  <c r="A98" i="1"/>
  <c r="AI98" i="1"/>
  <c r="AJ97" i="1"/>
  <c r="AA171" i="2" l="1"/>
  <c r="Z172" i="2"/>
  <c r="AA107" i="7"/>
  <c r="Z108" i="7"/>
  <c r="A99" i="1"/>
  <c r="AI99" i="1"/>
  <c r="AJ98" i="1"/>
  <c r="AA172" i="2" l="1"/>
  <c r="Z173" i="2"/>
  <c r="AA108" i="7"/>
  <c r="Z109" i="7"/>
  <c r="A100" i="1"/>
  <c r="AJ99" i="1"/>
  <c r="AI100" i="1"/>
  <c r="AA173" i="2" l="1"/>
  <c r="Z174" i="2"/>
  <c r="AA109" i="7"/>
  <c r="Z110" i="7"/>
  <c r="A101" i="1"/>
  <c r="AJ100" i="1"/>
  <c r="AI101" i="1"/>
  <c r="AA174" i="2" l="1"/>
  <c r="Z175" i="2"/>
  <c r="AA110" i="7"/>
  <c r="Z111" i="7"/>
  <c r="A102" i="1"/>
  <c r="AJ101" i="1"/>
  <c r="AI102" i="1"/>
  <c r="AA175" i="2" l="1"/>
  <c r="Z176" i="2"/>
  <c r="AA111" i="7"/>
  <c r="Z112" i="7"/>
  <c r="A103" i="1"/>
  <c r="AI103" i="1"/>
  <c r="AJ102" i="1"/>
  <c r="AA176" i="2" l="1"/>
  <c r="Z177" i="2"/>
  <c r="AA112" i="7"/>
  <c r="Z113" i="7"/>
  <c r="A104" i="1"/>
  <c r="AJ103" i="1"/>
  <c r="AI104" i="1"/>
  <c r="AA177" i="2" l="1"/>
  <c r="Z178" i="2"/>
  <c r="AA113" i="7"/>
  <c r="Z114" i="7"/>
  <c r="A105" i="1"/>
  <c r="AJ104" i="1"/>
  <c r="AI105" i="1"/>
  <c r="AA178" i="2" l="1"/>
  <c r="Z179" i="2"/>
  <c r="AA179" i="2" s="1"/>
  <c r="AA114" i="7"/>
  <c r="Z115" i="7"/>
  <c r="A106" i="1"/>
  <c r="AI106" i="1"/>
  <c r="AJ105" i="1"/>
  <c r="AA115" i="7" l="1"/>
  <c r="Z116" i="7"/>
  <c r="A107" i="1"/>
  <c r="AJ106" i="1"/>
  <c r="AI107" i="1"/>
  <c r="AA116" i="7" l="1"/>
  <c r="Z117" i="7"/>
  <c r="A108" i="1"/>
  <c r="AJ107" i="1"/>
  <c r="AI108" i="1"/>
  <c r="AA117" i="7" l="1"/>
  <c r="Z118" i="7"/>
  <c r="A109" i="1"/>
  <c r="AI109" i="1"/>
  <c r="AJ108" i="1"/>
  <c r="AA118" i="7" l="1"/>
  <c r="Z119" i="7"/>
  <c r="A110" i="1"/>
  <c r="AI110" i="1"/>
  <c r="AJ109" i="1"/>
  <c r="AA119" i="7" l="1"/>
  <c r="Z120" i="7"/>
  <c r="A111" i="1"/>
  <c r="AJ110" i="1"/>
  <c r="AI111" i="1"/>
  <c r="AA120" i="7" l="1"/>
  <c r="Z121" i="7"/>
  <c r="A112" i="1"/>
  <c r="AJ111" i="1"/>
  <c r="AI112" i="1"/>
  <c r="AA121" i="7" l="1"/>
  <c r="Z122" i="7"/>
  <c r="A113" i="1"/>
  <c r="AJ112" i="1"/>
  <c r="AI113" i="1"/>
  <c r="AA122" i="7" l="1"/>
  <c r="Z123" i="7"/>
  <c r="A114" i="1"/>
  <c r="AI114" i="1"/>
  <c r="AJ113" i="1"/>
  <c r="AA123" i="7" l="1"/>
  <c r="Z124" i="7"/>
  <c r="A115" i="1"/>
  <c r="AJ114" i="1"/>
  <c r="AI115" i="1"/>
  <c r="AA124" i="7" l="1"/>
  <c r="Z125" i="7"/>
  <c r="A116" i="1"/>
  <c r="AJ115" i="1"/>
  <c r="AI116" i="1"/>
  <c r="AA125" i="7" l="1"/>
  <c r="Z126" i="7"/>
  <c r="A117" i="1"/>
  <c r="AJ116" i="1"/>
  <c r="AI117" i="1"/>
  <c r="AA126" i="7" l="1"/>
  <c r="Z127" i="7"/>
  <c r="A118" i="1"/>
  <c r="AI118" i="1"/>
  <c r="AJ117" i="1"/>
  <c r="AA127" i="7" l="1"/>
  <c r="Z128" i="7"/>
  <c r="A119" i="1"/>
  <c r="AJ118" i="1"/>
  <c r="AI119" i="1"/>
  <c r="AA128" i="7" l="1"/>
  <c r="Z129" i="7"/>
  <c r="A120" i="1"/>
  <c r="AJ119" i="1"/>
  <c r="AI120" i="1"/>
  <c r="AA129" i="7" l="1"/>
  <c r="Z130" i="7"/>
  <c r="A121" i="1"/>
  <c r="AJ120" i="1"/>
  <c r="AI121" i="1"/>
  <c r="AA130" i="7" l="1"/>
  <c r="Z131" i="7"/>
  <c r="A122" i="1"/>
  <c r="AI122" i="1"/>
  <c r="AJ121" i="1"/>
  <c r="AA131" i="7" l="1"/>
  <c r="Z132" i="7"/>
  <c r="A123" i="1"/>
  <c r="AJ122" i="1"/>
  <c r="AI123" i="1"/>
  <c r="AA132" i="7" l="1"/>
  <c r="Z133" i="7"/>
  <c r="A124" i="1"/>
  <c r="AJ123" i="1"/>
  <c r="AI124" i="1"/>
  <c r="AA133" i="7" l="1"/>
  <c r="Z134" i="7"/>
  <c r="A125" i="1"/>
  <c r="AJ124" i="1"/>
  <c r="AI125" i="1"/>
  <c r="AA134" i="7" l="1"/>
  <c r="Z135" i="7"/>
  <c r="A126" i="1"/>
  <c r="AI126" i="1"/>
  <c r="AJ125" i="1"/>
  <c r="AA135" i="7" l="1"/>
  <c r="Z136" i="7"/>
  <c r="A127" i="1"/>
  <c r="AJ126" i="1"/>
  <c r="AI127" i="1"/>
  <c r="AA136" i="7" l="1"/>
  <c r="Z137" i="7"/>
  <c r="A128" i="1"/>
  <c r="AJ127" i="1"/>
  <c r="AI128" i="1"/>
  <c r="AA137" i="7" l="1"/>
  <c r="Z138" i="7"/>
  <c r="A129" i="1"/>
  <c r="AJ128" i="1"/>
  <c r="AI129" i="1"/>
  <c r="AA138" i="7" l="1"/>
  <c r="Z139" i="7"/>
  <c r="A130" i="1"/>
  <c r="AJ129" i="1"/>
  <c r="AI130" i="1"/>
  <c r="AA139" i="7" l="1"/>
  <c r="Z140" i="7"/>
  <c r="A131" i="1"/>
  <c r="AI131" i="1"/>
  <c r="AJ130" i="1"/>
  <c r="AA140" i="7" l="1"/>
  <c r="Z141" i="7"/>
  <c r="A132" i="1"/>
  <c r="AJ131" i="1"/>
  <c r="AI132" i="1"/>
  <c r="AA141" i="7" l="1"/>
  <c r="Z142" i="7"/>
  <c r="AA142" i="7" s="1"/>
  <c r="A133" i="1"/>
  <c r="AJ132" i="1"/>
  <c r="AI133" i="1"/>
  <c r="A134" i="1" l="1"/>
  <c r="AJ133" i="1"/>
  <c r="AI134" i="1"/>
  <c r="A135" i="1" l="1"/>
  <c r="AJ134" i="1"/>
  <c r="AI135" i="1"/>
  <c r="A136" i="1" l="1"/>
  <c r="AJ135" i="1"/>
  <c r="AI136" i="1"/>
  <c r="A137" i="1" l="1"/>
  <c r="AI137" i="1"/>
  <c r="AJ136" i="1"/>
  <c r="A138" i="1" l="1"/>
  <c r="AI138" i="1"/>
  <c r="AJ137" i="1"/>
  <c r="A139" i="1" l="1"/>
  <c r="AI139" i="1"/>
  <c r="AJ138" i="1"/>
  <c r="A140" i="1" l="1"/>
  <c r="AJ139" i="1"/>
  <c r="AI140" i="1"/>
  <c r="A141" i="1" l="1"/>
  <c r="AJ140" i="1"/>
  <c r="AI141" i="1"/>
  <c r="A142" i="1" l="1"/>
  <c r="AI142" i="1"/>
  <c r="AJ141" i="1"/>
  <c r="A143" i="1" l="1"/>
  <c r="AJ142" i="1"/>
  <c r="AI143" i="1"/>
  <c r="A144" i="1" l="1"/>
  <c r="AI144" i="1"/>
  <c r="AJ143" i="1"/>
  <c r="A145" i="1" l="1"/>
  <c r="AI145" i="1"/>
  <c r="AJ144" i="1"/>
  <c r="A146" i="1" l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I146" i="1"/>
  <c r="AJ145" i="1"/>
  <c r="AJ146" i="1" l="1"/>
  <c r="AI147" i="1"/>
  <c r="AI148" i="1" l="1"/>
  <c r="AJ147" i="1"/>
  <c r="AJ148" i="1" l="1"/>
  <c r="AI149" i="1"/>
  <c r="AI150" i="1" l="1"/>
  <c r="AJ149" i="1"/>
  <c r="AI151" i="1" l="1"/>
  <c r="AJ150" i="1"/>
  <c r="AJ151" i="1" l="1"/>
  <c r="AI152" i="1"/>
  <c r="AI153" i="1" l="1"/>
  <c r="AJ152" i="1"/>
  <c r="AJ153" i="1" l="1"/>
  <c r="AI154" i="1"/>
  <c r="AJ154" i="1" l="1"/>
  <c r="AI155" i="1"/>
  <c r="AJ155" i="1" l="1"/>
  <c r="AI156" i="1"/>
  <c r="AI157" i="1" l="1"/>
  <c r="AJ156" i="1"/>
  <c r="AI158" i="1" l="1"/>
  <c r="AJ157" i="1"/>
  <c r="AJ158" i="1" l="1"/>
  <c r="AI159" i="1"/>
  <c r="AI160" i="1" l="1"/>
  <c r="AJ159" i="1"/>
  <c r="AJ160" i="1" l="1"/>
  <c r="AI161" i="1"/>
  <c r="AJ161" i="1" l="1"/>
  <c r="AI162" i="1"/>
  <c r="AJ162" i="1" l="1"/>
  <c r="AI163" i="1"/>
  <c r="AI164" i="1" l="1"/>
  <c r="AJ163" i="1"/>
  <c r="AI165" i="1" l="1"/>
  <c r="AJ164" i="1"/>
  <c r="AJ165" i="1" l="1"/>
  <c r="AI166" i="1"/>
  <c r="AI167" i="1" l="1"/>
  <c r="AJ166" i="1"/>
  <c r="AJ167" i="1" l="1"/>
  <c r="AI168" i="1"/>
  <c r="AI169" i="1" l="1"/>
  <c r="AJ168" i="1"/>
  <c r="AJ169" i="1" l="1"/>
  <c r="AI170" i="1"/>
  <c r="AJ170" i="1" l="1"/>
  <c r="AI171" i="1"/>
  <c r="AJ171" i="1" l="1"/>
  <c r="AI172" i="1"/>
  <c r="AI173" i="1" l="1"/>
  <c r="AJ172" i="1"/>
  <c r="AI174" i="1" l="1"/>
  <c r="AJ173" i="1"/>
  <c r="AI175" i="1" l="1"/>
  <c r="AJ174" i="1"/>
  <c r="AI176" i="1" l="1"/>
  <c r="AI177" i="1" s="1"/>
  <c r="AJ175" i="1"/>
  <c r="AJ177" i="1" l="1"/>
  <c r="AI178" i="1"/>
  <c r="AJ176" i="1"/>
  <c r="AJ178" i="1" l="1"/>
  <c r="AI179" i="1"/>
  <c r="AJ179" i="1" l="1"/>
  <c r="AI180" i="1"/>
  <c r="AI181" i="1" l="1"/>
  <c r="AJ180" i="1"/>
  <c r="AJ181" i="1" l="1"/>
  <c r="AI182" i="1"/>
  <c r="AI183" i="1" l="1"/>
  <c r="AJ183" i="1" s="1"/>
  <c r="AJ182" i="1"/>
</calcChain>
</file>

<file path=xl/sharedStrings.xml><?xml version="1.0" encoding="utf-8"?>
<sst xmlns="http://schemas.openxmlformats.org/spreadsheetml/2006/main" count="499" uniqueCount="68">
  <si>
    <t>Accounts</t>
  </si>
  <si>
    <t>A Notes</t>
  </si>
  <si>
    <t>B Notes</t>
  </si>
  <si>
    <t>A Factor</t>
  </si>
  <si>
    <t>B Factor</t>
  </si>
  <si>
    <t>Advance</t>
  </si>
  <si>
    <t>Factor</t>
  </si>
  <si>
    <t>Reserve</t>
  </si>
  <si>
    <t>Credit Support</t>
  </si>
  <si>
    <t>Current</t>
  </si>
  <si>
    <t>30+</t>
  </si>
  <si>
    <t>60+</t>
  </si>
  <si>
    <t>90+</t>
  </si>
  <si>
    <t>120+</t>
  </si>
  <si>
    <t>150+</t>
  </si>
  <si>
    <t>New Defaults</t>
  </si>
  <si>
    <t>D %</t>
  </si>
  <si>
    <t>Period</t>
  </si>
  <si>
    <t>Balance</t>
  </si>
  <si>
    <t>Defaults</t>
  </si>
  <si>
    <t>Total</t>
  </si>
  <si>
    <t>Credit</t>
  </si>
  <si>
    <t>Support</t>
  </si>
  <si>
    <t>Rate</t>
  </si>
  <si>
    <t>Reference</t>
  </si>
  <si>
    <t>Fiscal</t>
  </si>
  <si>
    <t>WAC</t>
  </si>
  <si>
    <t>C Notes</t>
  </si>
  <si>
    <t>C Factor</t>
  </si>
  <si>
    <t xml:space="preserve">Grantor </t>
  </si>
  <si>
    <t>Grantor</t>
  </si>
  <si>
    <t>Grantor (Panama)</t>
  </si>
  <si>
    <t>Report</t>
  </si>
  <si>
    <t>Month</t>
  </si>
  <si>
    <t>Estimated</t>
  </si>
  <si>
    <t>Prepayments</t>
  </si>
  <si>
    <t>in Full ($)</t>
  </si>
  <si>
    <t>in Full (#)</t>
  </si>
  <si>
    <t>Sheduled</t>
  </si>
  <si>
    <t>Principal</t>
  </si>
  <si>
    <t>Cumulative</t>
  </si>
  <si>
    <t>Defaults ($)</t>
  </si>
  <si>
    <t>Defaults (%)</t>
  </si>
  <si>
    <t>3 Month</t>
  </si>
  <si>
    <t>Average CPR</t>
  </si>
  <si>
    <t>Performing</t>
  </si>
  <si>
    <t>Voluntary</t>
  </si>
  <si>
    <t>6 Month</t>
  </si>
  <si>
    <t>12 Month</t>
  </si>
  <si>
    <t>Class A Notes</t>
  </si>
  <si>
    <t xml:space="preserve">Principal of </t>
  </si>
  <si>
    <t xml:space="preserve">Loans paid </t>
  </si>
  <si>
    <t>Principal of</t>
  </si>
  <si>
    <t xml:space="preserve">Cancelled </t>
  </si>
  <si>
    <t>Defaulted Loans</t>
  </si>
  <si>
    <t xml:space="preserve">Final </t>
  </si>
  <si>
    <t>Payments</t>
  </si>
  <si>
    <t xml:space="preserve">Prepayments </t>
  </si>
  <si>
    <t>in Full</t>
  </si>
  <si>
    <t>Voluntary Partial</t>
  </si>
  <si>
    <t>SMM</t>
  </si>
  <si>
    <t>CPR</t>
  </si>
  <si>
    <t>Loans paid</t>
  </si>
  <si>
    <t>-</t>
  </si>
  <si>
    <t xml:space="preserve">Grantor (El Salvador) </t>
  </si>
  <si>
    <t>Reserve Required</t>
  </si>
  <si>
    <t>Cantidad de creditos</t>
  </si>
  <si>
    <t>Monto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</si>
</sst>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.0000_);_(* \(#,##0.0000\);_(* &quot;-&quot;??_);_(@_)"/>
    <numFmt numFmtId="166" formatCode="0.0%"/>
    <numFmt numFmtId="167" formatCode="0.0000%"/>
    <numFmt numFmtId="168" formatCode="_(* #,##0.00000_);_(* \(#,##0.00000\);_(* &quot;-&quot;??_);_(@_)"/>
    <numFmt numFmtId="169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4" fontId="0" fillId="0" borderId="0" xfId="0" applyNumberFormat="1"/>
    <xf numFmtId="164" fontId="0" fillId="0" borderId="0" xfId="1" applyFont="1" applyFill="1"/>
    <xf numFmtId="17" fontId="0" fillId="0" borderId="0" xfId="0" applyNumberFormat="1"/>
    <xf numFmtId="10" fontId="0" fillId="0" borderId="0" xfId="2" applyNumberFormat="1" applyFont="1" applyFill="1"/>
    <xf numFmtId="165" fontId="0" fillId="0" borderId="0" xfId="1" applyNumberFormat="1" applyFont="1" applyFill="1"/>
    <xf numFmtId="167" fontId="0" fillId="0" borderId="0" xfId="2" applyNumberFormat="1" applyFont="1" applyFill="1"/>
    <xf numFmtId="168" fontId="0" fillId="0" borderId="0" xfId="0" applyNumberFormat="1"/>
    <xf numFmtId="166" fontId="0" fillId="0" borderId="0" xfId="2" applyNumberFormat="1" applyFont="1" applyFill="1"/>
    <xf numFmtId="164" fontId="0" fillId="0" borderId="0" xfId="0" applyNumberFormat="1"/>
    <xf numFmtId="0" fontId="3" fillId="0" borderId="0" xfId="0" applyFont="1"/>
    <xf numFmtId="164" fontId="3" fillId="0" borderId="0" xfId="1" applyFont="1"/>
    <xf numFmtId="166" fontId="3" fillId="0" borderId="0" xfId="2" applyNumberFormat="1" applyFont="1"/>
    <xf numFmtId="169" fontId="3" fillId="0" borderId="0" xfId="1" applyNumberFormat="1" applyFont="1"/>
    <xf numFmtId="10" fontId="3" fillId="0" borderId="0" xfId="2" applyNumberFormat="1" applyFont="1"/>
    <xf numFmtId="17" fontId="3" fillId="0" borderId="0" xfId="0" applyNumberFormat="1" applyFont="1"/>
    <xf numFmtId="4" fontId="3" fillId="0" borderId="0" xfId="0" applyNumberFormat="1" applyFont="1"/>
    <xf numFmtId="167" fontId="3" fillId="0" borderId="0" xfId="2" applyNumberFormat="1" applyFont="1"/>
    <xf numFmtId="37" fontId="3" fillId="0" borderId="0" xfId="1" applyNumberFormat="1" applyFont="1"/>
    <xf numFmtId="164" fontId="3" fillId="0" borderId="0" xfId="0" applyNumberFormat="1" applyFont="1"/>
    <xf numFmtId="167" fontId="3" fillId="0" borderId="0" xfId="0" applyNumberFormat="1" applyFont="1"/>
    <xf numFmtId="164" fontId="3" fillId="0" borderId="0" xfId="1" applyFont="1" applyFill="1"/>
    <xf numFmtId="164" fontId="3" fillId="2" borderId="0" xfId="1" applyFont="1" applyFill="1"/>
    <xf numFmtId="16" fontId="3" fillId="0" borderId="0" xfId="0" applyNumberFormat="1" applyFont="1"/>
    <xf numFmtId="0" fontId="2" fillId="0" borderId="0" xfId="0" applyFont="1" applyAlignment="1">
      <alignment horizontal="center"/>
    </xf>
    <xf numFmtId="169" fontId="0" fillId="0" borderId="0" xfId="1" applyNumberFormat="1" applyFont="1" applyFill="1"/>
    <xf numFmtId="37" fontId="0" fillId="0" borderId="0" xfId="1" applyNumberFormat="1" applyFont="1" applyFill="1"/>
    <xf numFmtId="167" fontId="0" fillId="0" borderId="0" xfId="0" applyNumberFormat="1"/>
    <xf numFmtId="0" fontId="4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10" fontId="0" fillId="0" borderId="0" xfId="1" applyNumberFormat="1" applyFont="1" applyFill="1"/>
    <xf numFmtId="10" fontId="7" fillId="0" borderId="0" xfId="2" applyNumberFormat="1" applyFont="1" applyAlignment="1">
      <alignment horizontal="center"/>
    </xf>
    <xf numFmtId="0" fontId="2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1" applyNumberFormat="1" applyFont="1" applyFill="1" applyAlignment="1">
      <alignment horizontal="center"/>
    </xf>
    <xf numFmtId="37" fontId="0" fillId="0" borderId="0" xfId="0" applyNumberFormat="1"/>
    <xf numFmtId="0" fontId="0" fillId="0" borderId="0" xfId="2" applyNumberFormat="1" applyFont="1" applyFill="1"/>
    <xf numFmtId="167" fontId="0" fillId="0" borderId="0" xfId="2" applyNumberFormat="1" applyFont="1" applyFill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3" fontId="3" fillId="0" borderId="0" xfId="0" applyNumberFormat="1" applyFont="1"/>
    <xf numFmtId="164" fontId="0" fillId="0" borderId="0" xfId="1" applyFont="1" applyFill="1" applyAlignment="1">
      <alignment horizontal="center"/>
    </xf>
    <xf numFmtId="39" fontId="3" fillId="0" borderId="0" xfId="1" applyNumberFormat="1" applyFont="1"/>
    <xf numFmtId="17" fontId="8" fillId="0" borderId="0" xfId="0" applyNumberFormat="1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09.xml"/><Relationship Id="rId299" Type="http://schemas.openxmlformats.org/officeDocument/2006/relationships/externalLink" Target="externalLinks/externalLink291.xml"/><Relationship Id="rId21" Type="http://schemas.openxmlformats.org/officeDocument/2006/relationships/externalLink" Target="externalLinks/externalLink13.xml"/><Relationship Id="rId63" Type="http://schemas.openxmlformats.org/officeDocument/2006/relationships/externalLink" Target="externalLinks/externalLink55.xml"/><Relationship Id="rId159" Type="http://schemas.openxmlformats.org/officeDocument/2006/relationships/externalLink" Target="externalLinks/externalLink151.xml"/><Relationship Id="rId324" Type="http://schemas.openxmlformats.org/officeDocument/2006/relationships/externalLink" Target="externalLinks/externalLink316.xml"/><Relationship Id="rId366" Type="http://schemas.openxmlformats.org/officeDocument/2006/relationships/externalLink" Target="externalLinks/externalLink358.xml"/><Relationship Id="rId170" Type="http://schemas.openxmlformats.org/officeDocument/2006/relationships/externalLink" Target="externalLinks/externalLink162.xml"/><Relationship Id="rId226" Type="http://schemas.openxmlformats.org/officeDocument/2006/relationships/externalLink" Target="externalLinks/externalLink218.xml"/><Relationship Id="rId433" Type="http://schemas.openxmlformats.org/officeDocument/2006/relationships/externalLink" Target="externalLinks/externalLink425.xml"/><Relationship Id="rId268" Type="http://schemas.openxmlformats.org/officeDocument/2006/relationships/externalLink" Target="externalLinks/externalLink260.xml"/><Relationship Id="rId32" Type="http://schemas.openxmlformats.org/officeDocument/2006/relationships/externalLink" Target="externalLinks/externalLink24.xml"/><Relationship Id="rId74" Type="http://schemas.openxmlformats.org/officeDocument/2006/relationships/externalLink" Target="externalLinks/externalLink66.xml"/><Relationship Id="rId128" Type="http://schemas.openxmlformats.org/officeDocument/2006/relationships/externalLink" Target="externalLinks/externalLink120.xml"/><Relationship Id="rId335" Type="http://schemas.openxmlformats.org/officeDocument/2006/relationships/externalLink" Target="externalLinks/externalLink327.xml"/><Relationship Id="rId377" Type="http://schemas.openxmlformats.org/officeDocument/2006/relationships/externalLink" Target="externalLinks/externalLink369.xml"/><Relationship Id="rId5" Type="http://schemas.openxmlformats.org/officeDocument/2006/relationships/worksheet" Target="worksheets/sheet5.xml"/><Relationship Id="rId181" Type="http://schemas.openxmlformats.org/officeDocument/2006/relationships/externalLink" Target="externalLinks/externalLink173.xml"/><Relationship Id="rId237" Type="http://schemas.openxmlformats.org/officeDocument/2006/relationships/externalLink" Target="externalLinks/externalLink229.xml"/><Relationship Id="rId402" Type="http://schemas.openxmlformats.org/officeDocument/2006/relationships/externalLink" Target="externalLinks/externalLink394.xml"/><Relationship Id="rId279" Type="http://schemas.openxmlformats.org/officeDocument/2006/relationships/externalLink" Target="externalLinks/externalLink271.xml"/><Relationship Id="rId444" Type="http://schemas.openxmlformats.org/officeDocument/2006/relationships/externalLink" Target="externalLinks/externalLink436.xml"/><Relationship Id="rId43" Type="http://schemas.openxmlformats.org/officeDocument/2006/relationships/externalLink" Target="externalLinks/externalLink35.xml"/><Relationship Id="rId139" Type="http://schemas.openxmlformats.org/officeDocument/2006/relationships/externalLink" Target="externalLinks/externalLink131.xml"/><Relationship Id="rId290" Type="http://schemas.openxmlformats.org/officeDocument/2006/relationships/externalLink" Target="externalLinks/externalLink282.xml"/><Relationship Id="rId304" Type="http://schemas.openxmlformats.org/officeDocument/2006/relationships/externalLink" Target="externalLinks/externalLink296.xml"/><Relationship Id="rId346" Type="http://schemas.openxmlformats.org/officeDocument/2006/relationships/externalLink" Target="externalLinks/externalLink338.xml"/><Relationship Id="rId388" Type="http://schemas.openxmlformats.org/officeDocument/2006/relationships/externalLink" Target="externalLinks/externalLink380.xml"/><Relationship Id="rId85" Type="http://schemas.openxmlformats.org/officeDocument/2006/relationships/externalLink" Target="externalLinks/externalLink77.xml"/><Relationship Id="rId150" Type="http://schemas.openxmlformats.org/officeDocument/2006/relationships/externalLink" Target="externalLinks/externalLink142.xml"/><Relationship Id="rId192" Type="http://schemas.openxmlformats.org/officeDocument/2006/relationships/externalLink" Target="externalLinks/externalLink184.xml"/><Relationship Id="rId206" Type="http://schemas.openxmlformats.org/officeDocument/2006/relationships/externalLink" Target="externalLinks/externalLink198.xml"/><Relationship Id="rId413" Type="http://schemas.openxmlformats.org/officeDocument/2006/relationships/externalLink" Target="externalLinks/externalLink405.xml"/><Relationship Id="rId248" Type="http://schemas.openxmlformats.org/officeDocument/2006/relationships/externalLink" Target="externalLinks/externalLink240.xml"/><Relationship Id="rId455" Type="http://schemas.openxmlformats.org/officeDocument/2006/relationships/externalLink" Target="externalLinks/externalLink447.xml"/><Relationship Id="rId12" Type="http://schemas.openxmlformats.org/officeDocument/2006/relationships/externalLink" Target="externalLinks/externalLink4.xml"/><Relationship Id="rId108" Type="http://schemas.openxmlformats.org/officeDocument/2006/relationships/externalLink" Target="externalLinks/externalLink100.xml"/><Relationship Id="rId315" Type="http://schemas.openxmlformats.org/officeDocument/2006/relationships/externalLink" Target="externalLinks/externalLink307.xml"/><Relationship Id="rId357" Type="http://schemas.openxmlformats.org/officeDocument/2006/relationships/externalLink" Target="externalLinks/externalLink349.xml"/><Relationship Id="rId54" Type="http://schemas.openxmlformats.org/officeDocument/2006/relationships/externalLink" Target="externalLinks/externalLink46.xml"/><Relationship Id="rId96" Type="http://schemas.openxmlformats.org/officeDocument/2006/relationships/externalLink" Target="externalLinks/externalLink88.xml"/><Relationship Id="rId161" Type="http://schemas.openxmlformats.org/officeDocument/2006/relationships/externalLink" Target="externalLinks/externalLink153.xml"/><Relationship Id="rId217" Type="http://schemas.openxmlformats.org/officeDocument/2006/relationships/externalLink" Target="externalLinks/externalLink209.xml"/><Relationship Id="rId399" Type="http://schemas.openxmlformats.org/officeDocument/2006/relationships/externalLink" Target="externalLinks/externalLink391.xml"/><Relationship Id="rId259" Type="http://schemas.openxmlformats.org/officeDocument/2006/relationships/externalLink" Target="externalLinks/externalLink251.xml"/><Relationship Id="rId424" Type="http://schemas.openxmlformats.org/officeDocument/2006/relationships/externalLink" Target="externalLinks/externalLink416.xml"/><Relationship Id="rId23" Type="http://schemas.openxmlformats.org/officeDocument/2006/relationships/externalLink" Target="externalLinks/externalLink15.xml"/><Relationship Id="rId119" Type="http://schemas.openxmlformats.org/officeDocument/2006/relationships/externalLink" Target="externalLinks/externalLink111.xml"/><Relationship Id="rId270" Type="http://schemas.openxmlformats.org/officeDocument/2006/relationships/externalLink" Target="externalLinks/externalLink262.xml"/><Relationship Id="rId326" Type="http://schemas.openxmlformats.org/officeDocument/2006/relationships/externalLink" Target="externalLinks/externalLink318.xml"/><Relationship Id="rId65" Type="http://schemas.openxmlformats.org/officeDocument/2006/relationships/externalLink" Target="externalLinks/externalLink57.xml"/><Relationship Id="rId130" Type="http://schemas.openxmlformats.org/officeDocument/2006/relationships/externalLink" Target="externalLinks/externalLink122.xml"/><Relationship Id="rId368" Type="http://schemas.openxmlformats.org/officeDocument/2006/relationships/externalLink" Target="externalLinks/externalLink360.xml"/><Relationship Id="rId172" Type="http://schemas.openxmlformats.org/officeDocument/2006/relationships/externalLink" Target="externalLinks/externalLink164.xml"/><Relationship Id="rId228" Type="http://schemas.openxmlformats.org/officeDocument/2006/relationships/externalLink" Target="externalLinks/externalLink220.xml"/><Relationship Id="rId435" Type="http://schemas.openxmlformats.org/officeDocument/2006/relationships/externalLink" Target="externalLinks/externalLink427.xml"/><Relationship Id="rId281" Type="http://schemas.openxmlformats.org/officeDocument/2006/relationships/externalLink" Target="externalLinks/externalLink273.xml"/><Relationship Id="rId337" Type="http://schemas.openxmlformats.org/officeDocument/2006/relationships/externalLink" Target="externalLinks/externalLink329.xml"/><Relationship Id="rId34" Type="http://schemas.openxmlformats.org/officeDocument/2006/relationships/externalLink" Target="externalLinks/externalLink26.xml"/><Relationship Id="rId76" Type="http://schemas.openxmlformats.org/officeDocument/2006/relationships/externalLink" Target="externalLinks/externalLink68.xml"/><Relationship Id="rId141" Type="http://schemas.openxmlformats.org/officeDocument/2006/relationships/externalLink" Target="externalLinks/externalLink133.xml"/><Relationship Id="rId379" Type="http://schemas.openxmlformats.org/officeDocument/2006/relationships/externalLink" Target="externalLinks/externalLink371.xml"/><Relationship Id="rId7" Type="http://schemas.openxmlformats.org/officeDocument/2006/relationships/worksheet" Target="worksheets/sheet7.xml"/><Relationship Id="rId183" Type="http://schemas.openxmlformats.org/officeDocument/2006/relationships/externalLink" Target="externalLinks/externalLink175.xml"/><Relationship Id="rId239" Type="http://schemas.openxmlformats.org/officeDocument/2006/relationships/externalLink" Target="externalLinks/externalLink231.xml"/><Relationship Id="rId390" Type="http://schemas.openxmlformats.org/officeDocument/2006/relationships/externalLink" Target="externalLinks/externalLink382.xml"/><Relationship Id="rId404" Type="http://schemas.openxmlformats.org/officeDocument/2006/relationships/externalLink" Target="externalLinks/externalLink396.xml"/><Relationship Id="rId446" Type="http://schemas.openxmlformats.org/officeDocument/2006/relationships/externalLink" Target="externalLinks/externalLink438.xml"/><Relationship Id="rId250" Type="http://schemas.openxmlformats.org/officeDocument/2006/relationships/externalLink" Target="externalLinks/externalLink242.xml"/><Relationship Id="rId292" Type="http://schemas.openxmlformats.org/officeDocument/2006/relationships/externalLink" Target="externalLinks/externalLink284.xml"/><Relationship Id="rId306" Type="http://schemas.openxmlformats.org/officeDocument/2006/relationships/externalLink" Target="externalLinks/externalLink298.xml"/><Relationship Id="rId45" Type="http://schemas.openxmlformats.org/officeDocument/2006/relationships/externalLink" Target="externalLinks/externalLink37.xml"/><Relationship Id="rId87" Type="http://schemas.openxmlformats.org/officeDocument/2006/relationships/externalLink" Target="externalLinks/externalLink79.xml"/><Relationship Id="rId110" Type="http://schemas.openxmlformats.org/officeDocument/2006/relationships/externalLink" Target="externalLinks/externalLink102.xml"/><Relationship Id="rId348" Type="http://schemas.openxmlformats.org/officeDocument/2006/relationships/externalLink" Target="externalLinks/externalLink340.xml"/><Relationship Id="rId152" Type="http://schemas.openxmlformats.org/officeDocument/2006/relationships/externalLink" Target="externalLinks/externalLink144.xml"/><Relationship Id="rId194" Type="http://schemas.openxmlformats.org/officeDocument/2006/relationships/externalLink" Target="externalLinks/externalLink186.xml"/><Relationship Id="rId208" Type="http://schemas.openxmlformats.org/officeDocument/2006/relationships/externalLink" Target="externalLinks/externalLink200.xml"/><Relationship Id="rId415" Type="http://schemas.openxmlformats.org/officeDocument/2006/relationships/externalLink" Target="externalLinks/externalLink407.xml"/><Relationship Id="rId457" Type="http://schemas.openxmlformats.org/officeDocument/2006/relationships/externalLink" Target="externalLinks/externalLink449.xml"/><Relationship Id="rId261" Type="http://schemas.openxmlformats.org/officeDocument/2006/relationships/externalLink" Target="externalLinks/externalLink253.xml"/><Relationship Id="rId14" Type="http://schemas.openxmlformats.org/officeDocument/2006/relationships/externalLink" Target="externalLinks/externalLink6.xml"/><Relationship Id="rId56" Type="http://schemas.openxmlformats.org/officeDocument/2006/relationships/externalLink" Target="externalLinks/externalLink48.xml"/><Relationship Id="rId317" Type="http://schemas.openxmlformats.org/officeDocument/2006/relationships/externalLink" Target="externalLinks/externalLink309.xml"/><Relationship Id="rId359" Type="http://schemas.openxmlformats.org/officeDocument/2006/relationships/externalLink" Target="externalLinks/externalLink351.xml"/><Relationship Id="rId98" Type="http://schemas.openxmlformats.org/officeDocument/2006/relationships/externalLink" Target="externalLinks/externalLink90.xml"/><Relationship Id="rId121" Type="http://schemas.openxmlformats.org/officeDocument/2006/relationships/externalLink" Target="externalLinks/externalLink113.xml"/><Relationship Id="rId163" Type="http://schemas.openxmlformats.org/officeDocument/2006/relationships/externalLink" Target="externalLinks/externalLink155.xml"/><Relationship Id="rId219" Type="http://schemas.openxmlformats.org/officeDocument/2006/relationships/externalLink" Target="externalLinks/externalLink211.xml"/><Relationship Id="rId370" Type="http://schemas.openxmlformats.org/officeDocument/2006/relationships/externalLink" Target="externalLinks/externalLink362.xml"/><Relationship Id="rId426" Type="http://schemas.openxmlformats.org/officeDocument/2006/relationships/externalLink" Target="externalLinks/externalLink418.xml"/><Relationship Id="rId230" Type="http://schemas.openxmlformats.org/officeDocument/2006/relationships/externalLink" Target="externalLinks/externalLink222.xml"/><Relationship Id="rId25" Type="http://schemas.openxmlformats.org/officeDocument/2006/relationships/externalLink" Target="externalLinks/externalLink17.xml"/><Relationship Id="rId67" Type="http://schemas.openxmlformats.org/officeDocument/2006/relationships/externalLink" Target="externalLinks/externalLink59.xml"/><Relationship Id="rId272" Type="http://schemas.openxmlformats.org/officeDocument/2006/relationships/externalLink" Target="externalLinks/externalLink264.xml"/><Relationship Id="rId328" Type="http://schemas.openxmlformats.org/officeDocument/2006/relationships/externalLink" Target="externalLinks/externalLink320.xml"/><Relationship Id="rId132" Type="http://schemas.openxmlformats.org/officeDocument/2006/relationships/externalLink" Target="externalLinks/externalLink124.xml"/><Relationship Id="rId174" Type="http://schemas.openxmlformats.org/officeDocument/2006/relationships/externalLink" Target="externalLinks/externalLink166.xml"/><Relationship Id="rId381" Type="http://schemas.openxmlformats.org/officeDocument/2006/relationships/externalLink" Target="externalLinks/externalLink373.xml"/><Relationship Id="rId241" Type="http://schemas.openxmlformats.org/officeDocument/2006/relationships/externalLink" Target="externalLinks/externalLink233.xml"/><Relationship Id="rId437" Type="http://schemas.openxmlformats.org/officeDocument/2006/relationships/externalLink" Target="externalLinks/externalLink429.xml"/><Relationship Id="rId36" Type="http://schemas.openxmlformats.org/officeDocument/2006/relationships/externalLink" Target="externalLinks/externalLink28.xml"/><Relationship Id="rId283" Type="http://schemas.openxmlformats.org/officeDocument/2006/relationships/externalLink" Target="externalLinks/externalLink275.xml"/><Relationship Id="rId339" Type="http://schemas.openxmlformats.org/officeDocument/2006/relationships/externalLink" Target="externalLinks/externalLink331.xml"/><Relationship Id="rId78" Type="http://schemas.openxmlformats.org/officeDocument/2006/relationships/externalLink" Target="externalLinks/externalLink70.xml"/><Relationship Id="rId101" Type="http://schemas.openxmlformats.org/officeDocument/2006/relationships/externalLink" Target="externalLinks/externalLink93.xml"/><Relationship Id="rId143" Type="http://schemas.openxmlformats.org/officeDocument/2006/relationships/externalLink" Target="externalLinks/externalLink135.xml"/><Relationship Id="rId185" Type="http://schemas.openxmlformats.org/officeDocument/2006/relationships/externalLink" Target="externalLinks/externalLink177.xml"/><Relationship Id="rId350" Type="http://schemas.openxmlformats.org/officeDocument/2006/relationships/externalLink" Target="externalLinks/externalLink342.xml"/><Relationship Id="rId406" Type="http://schemas.openxmlformats.org/officeDocument/2006/relationships/externalLink" Target="externalLinks/externalLink398.xml"/><Relationship Id="rId9" Type="http://schemas.openxmlformats.org/officeDocument/2006/relationships/externalLink" Target="externalLinks/externalLink1.xml"/><Relationship Id="rId210" Type="http://schemas.openxmlformats.org/officeDocument/2006/relationships/externalLink" Target="externalLinks/externalLink202.xml"/><Relationship Id="rId392" Type="http://schemas.openxmlformats.org/officeDocument/2006/relationships/externalLink" Target="externalLinks/externalLink384.xml"/><Relationship Id="rId448" Type="http://schemas.openxmlformats.org/officeDocument/2006/relationships/externalLink" Target="externalLinks/externalLink440.xml"/><Relationship Id="rId252" Type="http://schemas.openxmlformats.org/officeDocument/2006/relationships/externalLink" Target="externalLinks/externalLink244.xml"/><Relationship Id="rId294" Type="http://schemas.openxmlformats.org/officeDocument/2006/relationships/externalLink" Target="externalLinks/externalLink286.xml"/><Relationship Id="rId308" Type="http://schemas.openxmlformats.org/officeDocument/2006/relationships/externalLink" Target="externalLinks/externalLink300.xml"/><Relationship Id="rId47" Type="http://schemas.openxmlformats.org/officeDocument/2006/relationships/externalLink" Target="externalLinks/externalLink39.xml"/><Relationship Id="rId89" Type="http://schemas.openxmlformats.org/officeDocument/2006/relationships/externalLink" Target="externalLinks/externalLink81.xml"/><Relationship Id="rId112" Type="http://schemas.openxmlformats.org/officeDocument/2006/relationships/externalLink" Target="externalLinks/externalLink104.xml"/><Relationship Id="rId154" Type="http://schemas.openxmlformats.org/officeDocument/2006/relationships/externalLink" Target="externalLinks/externalLink146.xml"/><Relationship Id="rId361" Type="http://schemas.openxmlformats.org/officeDocument/2006/relationships/externalLink" Target="externalLinks/externalLink353.xml"/><Relationship Id="rId196" Type="http://schemas.openxmlformats.org/officeDocument/2006/relationships/externalLink" Target="externalLinks/externalLink188.xml"/><Relationship Id="rId417" Type="http://schemas.openxmlformats.org/officeDocument/2006/relationships/externalLink" Target="externalLinks/externalLink409.xml"/><Relationship Id="rId459" Type="http://schemas.openxmlformats.org/officeDocument/2006/relationships/externalLink" Target="externalLinks/externalLink451.xml"/><Relationship Id="rId16" Type="http://schemas.openxmlformats.org/officeDocument/2006/relationships/externalLink" Target="externalLinks/externalLink8.xml"/><Relationship Id="rId221" Type="http://schemas.openxmlformats.org/officeDocument/2006/relationships/externalLink" Target="externalLinks/externalLink213.xml"/><Relationship Id="rId263" Type="http://schemas.openxmlformats.org/officeDocument/2006/relationships/externalLink" Target="externalLinks/externalLink255.xml"/><Relationship Id="rId319" Type="http://schemas.openxmlformats.org/officeDocument/2006/relationships/externalLink" Target="externalLinks/externalLink311.xml"/><Relationship Id="rId58" Type="http://schemas.openxmlformats.org/officeDocument/2006/relationships/externalLink" Target="externalLinks/externalLink50.xml"/><Relationship Id="rId123" Type="http://schemas.openxmlformats.org/officeDocument/2006/relationships/externalLink" Target="externalLinks/externalLink115.xml"/><Relationship Id="rId330" Type="http://schemas.openxmlformats.org/officeDocument/2006/relationships/externalLink" Target="externalLinks/externalLink322.xml"/><Relationship Id="rId165" Type="http://schemas.openxmlformats.org/officeDocument/2006/relationships/externalLink" Target="externalLinks/externalLink157.xml"/><Relationship Id="rId372" Type="http://schemas.openxmlformats.org/officeDocument/2006/relationships/externalLink" Target="externalLinks/externalLink364.xml"/><Relationship Id="rId428" Type="http://schemas.openxmlformats.org/officeDocument/2006/relationships/externalLink" Target="externalLinks/externalLink420.xml"/><Relationship Id="rId232" Type="http://schemas.openxmlformats.org/officeDocument/2006/relationships/externalLink" Target="externalLinks/externalLink224.xml"/><Relationship Id="rId274" Type="http://schemas.openxmlformats.org/officeDocument/2006/relationships/externalLink" Target="externalLinks/externalLink266.xml"/><Relationship Id="rId27" Type="http://schemas.openxmlformats.org/officeDocument/2006/relationships/externalLink" Target="externalLinks/externalLink19.xml"/><Relationship Id="rId69" Type="http://schemas.openxmlformats.org/officeDocument/2006/relationships/externalLink" Target="externalLinks/externalLink61.xml"/><Relationship Id="rId134" Type="http://schemas.openxmlformats.org/officeDocument/2006/relationships/externalLink" Target="externalLinks/externalLink126.xml"/><Relationship Id="rId80" Type="http://schemas.openxmlformats.org/officeDocument/2006/relationships/externalLink" Target="externalLinks/externalLink72.xml"/><Relationship Id="rId176" Type="http://schemas.openxmlformats.org/officeDocument/2006/relationships/externalLink" Target="externalLinks/externalLink168.xml"/><Relationship Id="rId341" Type="http://schemas.openxmlformats.org/officeDocument/2006/relationships/externalLink" Target="externalLinks/externalLink333.xml"/><Relationship Id="rId383" Type="http://schemas.openxmlformats.org/officeDocument/2006/relationships/externalLink" Target="externalLinks/externalLink375.xml"/><Relationship Id="rId439" Type="http://schemas.openxmlformats.org/officeDocument/2006/relationships/externalLink" Target="externalLinks/externalLink431.xml"/><Relationship Id="rId201" Type="http://schemas.openxmlformats.org/officeDocument/2006/relationships/externalLink" Target="externalLinks/externalLink193.xml"/><Relationship Id="rId243" Type="http://schemas.openxmlformats.org/officeDocument/2006/relationships/externalLink" Target="externalLinks/externalLink235.xml"/><Relationship Id="rId285" Type="http://schemas.openxmlformats.org/officeDocument/2006/relationships/externalLink" Target="externalLinks/externalLink277.xml"/><Relationship Id="rId450" Type="http://schemas.openxmlformats.org/officeDocument/2006/relationships/externalLink" Target="externalLinks/externalLink442.xml"/><Relationship Id="rId38" Type="http://schemas.openxmlformats.org/officeDocument/2006/relationships/externalLink" Target="externalLinks/externalLink30.xml"/><Relationship Id="rId103" Type="http://schemas.openxmlformats.org/officeDocument/2006/relationships/externalLink" Target="externalLinks/externalLink95.xml"/><Relationship Id="rId310" Type="http://schemas.openxmlformats.org/officeDocument/2006/relationships/externalLink" Target="externalLinks/externalLink302.xml"/><Relationship Id="rId91" Type="http://schemas.openxmlformats.org/officeDocument/2006/relationships/externalLink" Target="externalLinks/externalLink83.xml"/><Relationship Id="rId145" Type="http://schemas.openxmlformats.org/officeDocument/2006/relationships/externalLink" Target="externalLinks/externalLink137.xml"/><Relationship Id="rId187" Type="http://schemas.openxmlformats.org/officeDocument/2006/relationships/externalLink" Target="externalLinks/externalLink179.xml"/><Relationship Id="rId352" Type="http://schemas.openxmlformats.org/officeDocument/2006/relationships/externalLink" Target="externalLinks/externalLink344.xml"/><Relationship Id="rId394" Type="http://schemas.openxmlformats.org/officeDocument/2006/relationships/externalLink" Target="externalLinks/externalLink386.xml"/><Relationship Id="rId408" Type="http://schemas.openxmlformats.org/officeDocument/2006/relationships/externalLink" Target="externalLinks/externalLink400.xml"/><Relationship Id="rId212" Type="http://schemas.openxmlformats.org/officeDocument/2006/relationships/externalLink" Target="externalLinks/externalLink204.xml"/><Relationship Id="rId254" Type="http://schemas.openxmlformats.org/officeDocument/2006/relationships/externalLink" Target="externalLinks/externalLink246.xml"/><Relationship Id="rId49" Type="http://schemas.openxmlformats.org/officeDocument/2006/relationships/externalLink" Target="externalLinks/externalLink41.xml"/><Relationship Id="rId114" Type="http://schemas.openxmlformats.org/officeDocument/2006/relationships/externalLink" Target="externalLinks/externalLink106.xml"/><Relationship Id="rId296" Type="http://schemas.openxmlformats.org/officeDocument/2006/relationships/externalLink" Target="externalLinks/externalLink288.xml"/><Relationship Id="rId461" Type="http://schemas.openxmlformats.org/officeDocument/2006/relationships/styles" Target="styles.xml"/><Relationship Id="rId60" Type="http://schemas.openxmlformats.org/officeDocument/2006/relationships/externalLink" Target="externalLinks/externalLink52.xml"/><Relationship Id="rId156" Type="http://schemas.openxmlformats.org/officeDocument/2006/relationships/externalLink" Target="externalLinks/externalLink148.xml"/><Relationship Id="rId198" Type="http://schemas.openxmlformats.org/officeDocument/2006/relationships/externalLink" Target="externalLinks/externalLink190.xml"/><Relationship Id="rId321" Type="http://schemas.openxmlformats.org/officeDocument/2006/relationships/externalLink" Target="externalLinks/externalLink313.xml"/><Relationship Id="rId363" Type="http://schemas.openxmlformats.org/officeDocument/2006/relationships/externalLink" Target="externalLinks/externalLink355.xml"/><Relationship Id="rId419" Type="http://schemas.openxmlformats.org/officeDocument/2006/relationships/externalLink" Target="externalLinks/externalLink411.xml"/><Relationship Id="rId223" Type="http://schemas.openxmlformats.org/officeDocument/2006/relationships/externalLink" Target="externalLinks/externalLink215.xml"/><Relationship Id="rId430" Type="http://schemas.openxmlformats.org/officeDocument/2006/relationships/externalLink" Target="externalLinks/externalLink422.xml"/><Relationship Id="rId18" Type="http://schemas.openxmlformats.org/officeDocument/2006/relationships/externalLink" Target="externalLinks/externalLink10.xml"/><Relationship Id="rId265" Type="http://schemas.openxmlformats.org/officeDocument/2006/relationships/externalLink" Target="externalLinks/externalLink257.xml"/><Relationship Id="rId125" Type="http://schemas.openxmlformats.org/officeDocument/2006/relationships/externalLink" Target="externalLinks/externalLink117.xml"/><Relationship Id="rId167" Type="http://schemas.openxmlformats.org/officeDocument/2006/relationships/externalLink" Target="externalLinks/externalLink159.xml"/><Relationship Id="rId332" Type="http://schemas.openxmlformats.org/officeDocument/2006/relationships/externalLink" Target="externalLinks/externalLink324.xml"/><Relationship Id="rId374" Type="http://schemas.openxmlformats.org/officeDocument/2006/relationships/externalLink" Target="externalLinks/externalLink366.xml"/><Relationship Id="rId71" Type="http://schemas.openxmlformats.org/officeDocument/2006/relationships/externalLink" Target="externalLinks/externalLink63.xml"/><Relationship Id="rId234" Type="http://schemas.openxmlformats.org/officeDocument/2006/relationships/externalLink" Target="externalLinks/externalLink226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1.xml"/><Relationship Id="rId276" Type="http://schemas.openxmlformats.org/officeDocument/2006/relationships/externalLink" Target="externalLinks/externalLink268.xml"/><Relationship Id="rId441" Type="http://schemas.openxmlformats.org/officeDocument/2006/relationships/externalLink" Target="externalLinks/externalLink433.xml"/><Relationship Id="rId40" Type="http://schemas.openxmlformats.org/officeDocument/2006/relationships/externalLink" Target="externalLinks/externalLink32.xml"/><Relationship Id="rId115" Type="http://schemas.openxmlformats.org/officeDocument/2006/relationships/externalLink" Target="externalLinks/externalLink107.xml"/><Relationship Id="rId136" Type="http://schemas.openxmlformats.org/officeDocument/2006/relationships/externalLink" Target="externalLinks/externalLink128.xml"/><Relationship Id="rId157" Type="http://schemas.openxmlformats.org/officeDocument/2006/relationships/externalLink" Target="externalLinks/externalLink149.xml"/><Relationship Id="rId178" Type="http://schemas.openxmlformats.org/officeDocument/2006/relationships/externalLink" Target="externalLinks/externalLink170.xml"/><Relationship Id="rId301" Type="http://schemas.openxmlformats.org/officeDocument/2006/relationships/externalLink" Target="externalLinks/externalLink293.xml"/><Relationship Id="rId322" Type="http://schemas.openxmlformats.org/officeDocument/2006/relationships/externalLink" Target="externalLinks/externalLink314.xml"/><Relationship Id="rId343" Type="http://schemas.openxmlformats.org/officeDocument/2006/relationships/externalLink" Target="externalLinks/externalLink335.xml"/><Relationship Id="rId364" Type="http://schemas.openxmlformats.org/officeDocument/2006/relationships/externalLink" Target="externalLinks/externalLink356.xml"/><Relationship Id="rId61" Type="http://schemas.openxmlformats.org/officeDocument/2006/relationships/externalLink" Target="externalLinks/externalLink53.xml"/><Relationship Id="rId82" Type="http://schemas.openxmlformats.org/officeDocument/2006/relationships/externalLink" Target="externalLinks/externalLink74.xml"/><Relationship Id="rId199" Type="http://schemas.openxmlformats.org/officeDocument/2006/relationships/externalLink" Target="externalLinks/externalLink191.xml"/><Relationship Id="rId203" Type="http://schemas.openxmlformats.org/officeDocument/2006/relationships/externalLink" Target="externalLinks/externalLink195.xml"/><Relationship Id="rId385" Type="http://schemas.openxmlformats.org/officeDocument/2006/relationships/externalLink" Target="externalLinks/externalLink377.xml"/><Relationship Id="rId19" Type="http://schemas.openxmlformats.org/officeDocument/2006/relationships/externalLink" Target="externalLinks/externalLink11.xml"/><Relationship Id="rId224" Type="http://schemas.openxmlformats.org/officeDocument/2006/relationships/externalLink" Target="externalLinks/externalLink216.xml"/><Relationship Id="rId245" Type="http://schemas.openxmlformats.org/officeDocument/2006/relationships/externalLink" Target="externalLinks/externalLink237.xml"/><Relationship Id="rId266" Type="http://schemas.openxmlformats.org/officeDocument/2006/relationships/externalLink" Target="externalLinks/externalLink258.xml"/><Relationship Id="rId287" Type="http://schemas.openxmlformats.org/officeDocument/2006/relationships/externalLink" Target="externalLinks/externalLink279.xml"/><Relationship Id="rId410" Type="http://schemas.openxmlformats.org/officeDocument/2006/relationships/externalLink" Target="externalLinks/externalLink402.xml"/><Relationship Id="rId431" Type="http://schemas.openxmlformats.org/officeDocument/2006/relationships/externalLink" Target="externalLinks/externalLink423.xml"/><Relationship Id="rId452" Type="http://schemas.openxmlformats.org/officeDocument/2006/relationships/externalLink" Target="externalLinks/externalLink444.xml"/><Relationship Id="rId30" Type="http://schemas.openxmlformats.org/officeDocument/2006/relationships/externalLink" Target="externalLinks/externalLink22.xml"/><Relationship Id="rId105" Type="http://schemas.openxmlformats.org/officeDocument/2006/relationships/externalLink" Target="externalLinks/externalLink97.xml"/><Relationship Id="rId126" Type="http://schemas.openxmlformats.org/officeDocument/2006/relationships/externalLink" Target="externalLinks/externalLink118.xml"/><Relationship Id="rId147" Type="http://schemas.openxmlformats.org/officeDocument/2006/relationships/externalLink" Target="externalLinks/externalLink139.xml"/><Relationship Id="rId168" Type="http://schemas.openxmlformats.org/officeDocument/2006/relationships/externalLink" Target="externalLinks/externalLink160.xml"/><Relationship Id="rId312" Type="http://schemas.openxmlformats.org/officeDocument/2006/relationships/externalLink" Target="externalLinks/externalLink304.xml"/><Relationship Id="rId333" Type="http://schemas.openxmlformats.org/officeDocument/2006/relationships/externalLink" Target="externalLinks/externalLink325.xml"/><Relationship Id="rId354" Type="http://schemas.openxmlformats.org/officeDocument/2006/relationships/externalLink" Target="externalLinks/externalLink346.xml"/><Relationship Id="rId51" Type="http://schemas.openxmlformats.org/officeDocument/2006/relationships/externalLink" Target="externalLinks/externalLink43.xml"/><Relationship Id="rId72" Type="http://schemas.openxmlformats.org/officeDocument/2006/relationships/externalLink" Target="externalLinks/externalLink64.xml"/><Relationship Id="rId93" Type="http://schemas.openxmlformats.org/officeDocument/2006/relationships/externalLink" Target="externalLinks/externalLink85.xml"/><Relationship Id="rId189" Type="http://schemas.openxmlformats.org/officeDocument/2006/relationships/externalLink" Target="externalLinks/externalLink181.xml"/><Relationship Id="rId375" Type="http://schemas.openxmlformats.org/officeDocument/2006/relationships/externalLink" Target="externalLinks/externalLink367.xml"/><Relationship Id="rId396" Type="http://schemas.openxmlformats.org/officeDocument/2006/relationships/externalLink" Target="externalLinks/externalLink388.xml"/><Relationship Id="rId3" Type="http://schemas.openxmlformats.org/officeDocument/2006/relationships/worksheet" Target="worksheets/sheet3.xml"/><Relationship Id="rId214" Type="http://schemas.openxmlformats.org/officeDocument/2006/relationships/externalLink" Target="externalLinks/externalLink206.xml"/><Relationship Id="rId235" Type="http://schemas.openxmlformats.org/officeDocument/2006/relationships/externalLink" Target="externalLinks/externalLink227.xml"/><Relationship Id="rId256" Type="http://schemas.openxmlformats.org/officeDocument/2006/relationships/externalLink" Target="externalLinks/externalLink248.xml"/><Relationship Id="rId277" Type="http://schemas.openxmlformats.org/officeDocument/2006/relationships/externalLink" Target="externalLinks/externalLink269.xml"/><Relationship Id="rId298" Type="http://schemas.openxmlformats.org/officeDocument/2006/relationships/externalLink" Target="externalLinks/externalLink290.xml"/><Relationship Id="rId400" Type="http://schemas.openxmlformats.org/officeDocument/2006/relationships/externalLink" Target="externalLinks/externalLink392.xml"/><Relationship Id="rId421" Type="http://schemas.openxmlformats.org/officeDocument/2006/relationships/externalLink" Target="externalLinks/externalLink413.xml"/><Relationship Id="rId442" Type="http://schemas.openxmlformats.org/officeDocument/2006/relationships/externalLink" Target="externalLinks/externalLink434.xml"/><Relationship Id="rId463" Type="http://schemas.openxmlformats.org/officeDocument/2006/relationships/calcChain" Target="calcChain.xml"/><Relationship Id="rId116" Type="http://schemas.openxmlformats.org/officeDocument/2006/relationships/externalLink" Target="externalLinks/externalLink108.xml"/><Relationship Id="rId137" Type="http://schemas.openxmlformats.org/officeDocument/2006/relationships/externalLink" Target="externalLinks/externalLink129.xml"/><Relationship Id="rId158" Type="http://schemas.openxmlformats.org/officeDocument/2006/relationships/externalLink" Target="externalLinks/externalLink150.xml"/><Relationship Id="rId302" Type="http://schemas.openxmlformats.org/officeDocument/2006/relationships/externalLink" Target="externalLinks/externalLink294.xml"/><Relationship Id="rId323" Type="http://schemas.openxmlformats.org/officeDocument/2006/relationships/externalLink" Target="externalLinks/externalLink315.xml"/><Relationship Id="rId344" Type="http://schemas.openxmlformats.org/officeDocument/2006/relationships/externalLink" Target="externalLinks/externalLink336.xml"/><Relationship Id="rId20" Type="http://schemas.openxmlformats.org/officeDocument/2006/relationships/externalLink" Target="externalLinks/externalLink12.xml"/><Relationship Id="rId41" Type="http://schemas.openxmlformats.org/officeDocument/2006/relationships/externalLink" Target="externalLinks/externalLink33.xml"/><Relationship Id="rId62" Type="http://schemas.openxmlformats.org/officeDocument/2006/relationships/externalLink" Target="externalLinks/externalLink54.xml"/><Relationship Id="rId83" Type="http://schemas.openxmlformats.org/officeDocument/2006/relationships/externalLink" Target="externalLinks/externalLink75.xml"/><Relationship Id="rId179" Type="http://schemas.openxmlformats.org/officeDocument/2006/relationships/externalLink" Target="externalLinks/externalLink171.xml"/><Relationship Id="rId365" Type="http://schemas.openxmlformats.org/officeDocument/2006/relationships/externalLink" Target="externalLinks/externalLink357.xml"/><Relationship Id="rId386" Type="http://schemas.openxmlformats.org/officeDocument/2006/relationships/externalLink" Target="externalLinks/externalLink378.xml"/><Relationship Id="rId190" Type="http://schemas.openxmlformats.org/officeDocument/2006/relationships/externalLink" Target="externalLinks/externalLink182.xml"/><Relationship Id="rId204" Type="http://schemas.openxmlformats.org/officeDocument/2006/relationships/externalLink" Target="externalLinks/externalLink196.xml"/><Relationship Id="rId225" Type="http://schemas.openxmlformats.org/officeDocument/2006/relationships/externalLink" Target="externalLinks/externalLink217.xml"/><Relationship Id="rId246" Type="http://schemas.openxmlformats.org/officeDocument/2006/relationships/externalLink" Target="externalLinks/externalLink238.xml"/><Relationship Id="rId267" Type="http://schemas.openxmlformats.org/officeDocument/2006/relationships/externalLink" Target="externalLinks/externalLink259.xml"/><Relationship Id="rId288" Type="http://schemas.openxmlformats.org/officeDocument/2006/relationships/externalLink" Target="externalLinks/externalLink280.xml"/><Relationship Id="rId411" Type="http://schemas.openxmlformats.org/officeDocument/2006/relationships/externalLink" Target="externalLinks/externalLink403.xml"/><Relationship Id="rId432" Type="http://schemas.openxmlformats.org/officeDocument/2006/relationships/externalLink" Target="externalLinks/externalLink424.xml"/><Relationship Id="rId453" Type="http://schemas.openxmlformats.org/officeDocument/2006/relationships/externalLink" Target="externalLinks/externalLink445.xml"/><Relationship Id="rId106" Type="http://schemas.openxmlformats.org/officeDocument/2006/relationships/externalLink" Target="externalLinks/externalLink98.xml"/><Relationship Id="rId127" Type="http://schemas.openxmlformats.org/officeDocument/2006/relationships/externalLink" Target="externalLinks/externalLink119.xml"/><Relationship Id="rId313" Type="http://schemas.openxmlformats.org/officeDocument/2006/relationships/externalLink" Target="externalLinks/externalLink305.xml"/><Relationship Id="rId10" Type="http://schemas.openxmlformats.org/officeDocument/2006/relationships/externalLink" Target="externalLinks/externalLink2.xml"/><Relationship Id="rId31" Type="http://schemas.openxmlformats.org/officeDocument/2006/relationships/externalLink" Target="externalLinks/externalLink23.xml"/><Relationship Id="rId52" Type="http://schemas.openxmlformats.org/officeDocument/2006/relationships/externalLink" Target="externalLinks/externalLink44.xml"/><Relationship Id="rId73" Type="http://schemas.openxmlformats.org/officeDocument/2006/relationships/externalLink" Target="externalLinks/externalLink65.xml"/><Relationship Id="rId94" Type="http://schemas.openxmlformats.org/officeDocument/2006/relationships/externalLink" Target="externalLinks/externalLink86.xml"/><Relationship Id="rId148" Type="http://schemas.openxmlformats.org/officeDocument/2006/relationships/externalLink" Target="externalLinks/externalLink140.xml"/><Relationship Id="rId169" Type="http://schemas.openxmlformats.org/officeDocument/2006/relationships/externalLink" Target="externalLinks/externalLink161.xml"/><Relationship Id="rId334" Type="http://schemas.openxmlformats.org/officeDocument/2006/relationships/externalLink" Target="externalLinks/externalLink326.xml"/><Relationship Id="rId355" Type="http://schemas.openxmlformats.org/officeDocument/2006/relationships/externalLink" Target="externalLinks/externalLink347.xml"/><Relationship Id="rId376" Type="http://schemas.openxmlformats.org/officeDocument/2006/relationships/externalLink" Target="externalLinks/externalLink368.xml"/><Relationship Id="rId397" Type="http://schemas.openxmlformats.org/officeDocument/2006/relationships/externalLink" Target="externalLinks/externalLink389.xml"/><Relationship Id="rId4" Type="http://schemas.openxmlformats.org/officeDocument/2006/relationships/worksheet" Target="worksheets/sheet4.xml"/><Relationship Id="rId180" Type="http://schemas.openxmlformats.org/officeDocument/2006/relationships/externalLink" Target="externalLinks/externalLink172.xml"/><Relationship Id="rId215" Type="http://schemas.openxmlformats.org/officeDocument/2006/relationships/externalLink" Target="externalLinks/externalLink207.xml"/><Relationship Id="rId236" Type="http://schemas.openxmlformats.org/officeDocument/2006/relationships/externalLink" Target="externalLinks/externalLink228.xml"/><Relationship Id="rId257" Type="http://schemas.openxmlformats.org/officeDocument/2006/relationships/externalLink" Target="externalLinks/externalLink249.xml"/><Relationship Id="rId278" Type="http://schemas.openxmlformats.org/officeDocument/2006/relationships/externalLink" Target="externalLinks/externalLink270.xml"/><Relationship Id="rId401" Type="http://schemas.openxmlformats.org/officeDocument/2006/relationships/externalLink" Target="externalLinks/externalLink393.xml"/><Relationship Id="rId422" Type="http://schemas.openxmlformats.org/officeDocument/2006/relationships/externalLink" Target="externalLinks/externalLink414.xml"/><Relationship Id="rId443" Type="http://schemas.openxmlformats.org/officeDocument/2006/relationships/externalLink" Target="externalLinks/externalLink435.xml"/><Relationship Id="rId303" Type="http://schemas.openxmlformats.org/officeDocument/2006/relationships/externalLink" Target="externalLinks/externalLink295.xml"/><Relationship Id="rId42" Type="http://schemas.openxmlformats.org/officeDocument/2006/relationships/externalLink" Target="externalLinks/externalLink34.xml"/><Relationship Id="rId84" Type="http://schemas.openxmlformats.org/officeDocument/2006/relationships/externalLink" Target="externalLinks/externalLink76.xml"/><Relationship Id="rId138" Type="http://schemas.openxmlformats.org/officeDocument/2006/relationships/externalLink" Target="externalLinks/externalLink130.xml"/><Relationship Id="rId345" Type="http://schemas.openxmlformats.org/officeDocument/2006/relationships/externalLink" Target="externalLinks/externalLink337.xml"/><Relationship Id="rId387" Type="http://schemas.openxmlformats.org/officeDocument/2006/relationships/externalLink" Target="externalLinks/externalLink379.xml"/><Relationship Id="rId191" Type="http://schemas.openxmlformats.org/officeDocument/2006/relationships/externalLink" Target="externalLinks/externalLink183.xml"/><Relationship Id="rId205" Type="http://schemas.openxmlformats.org/officeDocument/2006/relationships/externalLink" Target="externalLinks/externalLink197.xml"/><Relationship Id="rId247" Type="http://schemas.openxmlformats.org/officeDocument/2006/relationships/externalLink" Target="externalLinks/externalLink239.xml"/><Relationship Id="rId412" Type="http://schemas.openxmlformats.org/officeDocument/2006/relationships/externalLink" Target="externalLinks/externalLink404.xml"/><Relationship Id="rId107" Type="http://schemas.openxmlformats.org/officeDocument/2006/relationships/externalLink" Target="externalLinks/externalLink99.xml"/><Relationship Id="rId289" Type="http://schemas.openxmlformats.org/officeDocument/2006/relationships/externalLink" Target="externalLinks/externalLink281.xml"/><Relationship Id="rId454" Type="http://schemas.openxmlformats.org/officeDocument/2006/relationships/externalLink" Target="externalLinks/externalLink446.xml"/><Relationship Id="rId11" Type="http://schemas.openxmlformats.org/officeDocument/2006/relationships/externalLink" Target="externalLinks/externalLink3.xml"/><Relationship Id="rId53" Type="http://schemas.openxmlformats.org/officeDocument/2006/relationships/externalLink" Target="externalLinks/externalLink45.xml"/><Relationship Id="rId149" Type="http://schemas.openxmlformats.org/officeDocument/2006/relationships/externalLink" Target="externalLinks/externalLink141.xml"/><Relationship Id="rId314" Type="http://schemas.openxmlformats.org/officeDocument/2006/relationships/externalLink" Target="externalLinks/externalLink306.xml"/><Relationship Id="rId356" Type="http://schemas.openxmlformats.org/officeDocument/2006/relationships/externalLink" Target="externalLinks/externalLink348.xml"/><Relationship Id="rId398" Type="http://schemas.openxmlformats.org/officeDocument/2006/relationships/externalLink" Target="externalLinks/externalLink390.xml"/><Relationship Id="rId95" Type="http://schemas.openxmlformats.org/officeDocument/2006/relationships/externalLink" Target="externalLinks/externalLink87.xml"/><Relationship Id="rId160" Type="http://schemas.openxmlformats.org/officeDocument/2006/relationships/externalLink" Target="externalLinks/externalLink152.xml"/><Relationship Id="rId216" Type="http://schemas.openxmlformats.org/officeDocument/2006/relationships/externalLink" Target="externalLinks/externalLink208.xml"/><Relationship Id="rId423" Type="http://schemas.openxmlformats.org/officeDocument/2006/relationships/externalLink" Target="externalLinks/externalLink415.xml"/><Relationship Id="rId258" Type="http://schemas.openxmlformats.org/officeDocument/2006/relationships/externalLink" Target="externalLinks/externalLink250.xml"/><Relationship Id="rId22" Type="http://schemas.openxmlformats.org/officeDocument/2006/relationships/externalLink" Target="externalLinks/externalLink14.xml"/><Relationship Id="rId64" Type="http://schemas.openxmlformats.org/officeDocument/2006/relationships/externalLink" Target="externalLinks/externalLink56.xml"/><Relationship Id="rId118" Type="http://schemas.openxmlformats.org/officeDocument/2006/relationships/externalLink" Target="externalLinks/externalLink110.xml"/><Relationship Id="rId325" Type="http://schemas.openxmlformats.org/officeDocument/2006/relationships/externalLink" Target="externalLinks/externalLink317.xml"/><Relationship Id="rId367" Type="http://schemas.openxmlformats.org/officeDocument/2006/relationships/externalLink" Target="externalLinks/externalLink359.xml"/><Relationship Id="rId171" Type="http://schemas.openxmlformats.org/officeDocument/2006/relationships/externalLink" Target="externalLinks/externalLink163.xml"/><Relationship Id="rId227" Type="http://schemas.openxmlformats.org/officeDocument/2006/relationships/externalLink" Target="externalLinks/externalLink219.xml"/><Relationship Id="rId269" Type="http://schemas.openxmlformats.org/officeDocument/2006/relationships/externalLink" Target="externalLinks/externalLink261.xml"/><Relationship Id="rId434" Type="http://schemas.openxmlformats.org/officeDocument/2006/relationships/externalLink" Target="externalLinks/externalLink426.xml"/><Relationship Id="rId33" Type="http://schemas.openxmlformats.org/officeDocument/2006/relationships/externalLink" Target="externalLinks/externalLink25.xml"/><Relationship Id="rId129" Type="http://schemas.openxmlformats.org/officeDocument/2006/relationships/externalLink" Target="externalLinks/externalLink121.xml"/><Relationship Id="rId280" Type="http://schemas.openxmlformats.org/officeDocument/2006/relationships/externalLink" Target="externalLinks/externalLink272.xml"/><Relationship Id="rId336" Type="http://schemas.openxmlformats.org/officeDocument/2006/relationships/externalLink" Target="externalLinks/externalLink328.xml"/><Relationship Id="rId75" Type="http://schemas.openxmlformats.org/officeDocument/2006/relationships/externalLink" Target="externalLinks/externalLink67.xml"/><Relationship Id="rId140" Type="http://schemas.openxmlformats.org/officeDocument/2006/relationships/externalLink" Target="externalLinks/externalLink132.xml"/><Relationship Id="rId182" Type="http://schemas.openxmlformats.org/officeDocument/2006/relationships/externalLink" Target="externalLinks/externalLink174.xml"/><Relationship Id="rId378" Type="http://schemas.openxmlformats.org/officeDocument/2006/relationships/externalLink" Target="externalLinks/externalLink370.xml"/><Relationship Id="rId403" Type="http://schemas.openxmlformats.org/officeDocument/2006/relationships/externalLink" Target="externalLinks/externalLink395.xml"/><Relationship Id="rId6" Type="http://schemas.openxmlformats.org/officeDocument/2006/relationships/worksheet" Target="worksheets/sheet6.xml"/><Relationship Id="rId238" Type="http://schemas.openxmlformats.org/officeDocument/2006/relationships/externalLink" Target="externalLinks/externalLink230.xml"/><Relationship Id="rId445" Type="http://schemas.openxmlformats.org/officeDocument/2006/relationships/externalLink" Target="externalLinks/externalLink437.xml"/><Relationship Id="rId291" Type="http://schemas.openxmlformats.org/officeDocument/2006/relationships/externalLink" Target="externalLinks/externalLink283.xml"/><Relationship Id="rId305" Type="http://schemas.openxmlformats.org/officeDocument/2006/relationships/externalLink" Target="externalLinks/externalLink297.xml"/><Relationship Id="rId347" Type="http://schemas.openxmlformats.org/officeDocument/2006/relationships/externalLink" Target="externalLinks/externalLink339.xml"/><Relationship Id="rId44" Type="http://schemas.openxmlformats.org/officeDocument/2006/relationships/externalLink" Target="externalLinks/externalLink36.xml"/><Relationship Id="rId86" Type="http://schemas.openxmlformats.org/officeDocument/2006/relationships/externalLink" Target="externalLinks/externalLink78.xml"/><Relationship Id="rId151" Type="http://schemas.openxmlformats.org/officeDocument/2006/relationships/externalLink" Target="externalLinks/externalLink143.xml"/><Relationship Id="rId389" Type="http://schemas.openxmlformats.org/officeDocument/2006/relationships/externalLink" Target="externalLinks/externalLink381.xml"/><Relationship Id="rId193" Type="http://schemas.openxmlformats.org/officeDocument/2006/relationships/externalLink" Target="externalLinks/externalLink185.xml"/><Relationship Id="rId207" Type="http://schemas.openxmlformats.org/officeDocument/2006/relationships/externalLink" Target="externalLinks/externalLink199.xml"/><Relationship Id="rId249" Type="http://schemas.openxmlformats.org/officeDocument/2006/relationships/externalLink" Target="externalLinks/externalLink241.xml"/><Relationship Id="rId414" Type="http://schemas.openxmlformats.org/officeDocument/2006/relationships/externalLink" Target="externalLinks/externalLink406.xml"/><Relationship Id="rId456" Type="http://schemas.openxmlformats.org/officeDocument/2006/relationships/externalLink" Target="externalLinks/externalLink448.xml"/><Relationship Id="rId13" Type="http://schemas.openxmlformats.org/officeDocument/2006/relationships/externalLink" Target="externalLinks/externalLink5.xml"/><Relationship Id="rId109" Type="http://schemas.openxmlformats.org/officeDocument/2006/relationships/externalLink" Target="externalLinks/externalLink101.xml"/><Relationship Id="rId260" Type="http://schemas.openxmlformats.org/officeDocument/2006/relationships/externalLink" Target="externalLinks/externalLink252.xml"/><Relationship Id="rId316" Type="http://schemas.openxmlformats.org/officeDocument/2006/relationships/externalLink" Target="externalLinks/externalLink308.xml"/><Relationship Id="rId55" Type="http://schemas.openxmlformats.org/officeDocument/2006/relationships/externalLink" Target="externalLinks/externalLink47.xml"/><Relationship Id="rId97" Type="http://schemas.openxmlformats.org/officeDocument/2006/relationships/externalLink" Target="externalLinks/externalLink89.xml"/><Relationship Id="rId120" Type="http://schemas.openxmlformats.org/officeDocument/2006/relationships/externalLink" Target="externalLinks/externalLink112.xml"/><Relationship Id="rId358" Type="http://schemas.openxmlformats.org/officeDocument/2006/relationships/externalLink" Target="externalLinks/externalLink350.xml"/><Relationship Id="rId162" Type="http://schemas.openxmlformats.org/officeDocument/2006/relationships/externalLink" Target="externalLinks/externalLink154.xml"/><Relationship Id="rId218" Type="http://schemas.openxmlformats.org/officeDocument/2006/relationships/externalLink" Target="externalLinks/externalLink210.xml"/><Relationship Id="rId425" Type="http://schemas.openxmlformats.org/officeDocument/2006/relationships/externalLink" Target="externalLinks/externalLink417.xml"/><Relationship Id="rId271" Type="http://schemas.openxmlformats.org/officeDocument/2006/relationships/externalLink" Target="externalLinks/externalLink263.xml"/><Relationship Id="rId24" Type="http://schemas.openxmlformats.org/officeDocument/2006/relationships/externalLink" Target="externalLinks/externalLink16.xml"/><Relationship Id="rId66" Type="http://schemas.openxmlformats.org/officeDocument/2006/relationships/externalLink" Target="externalLinks/externalLink58.xml"/><Relationship Id="rId131" Type="http://schemas.openxmlformats.org/officeDocument/2006/relationships/externalLink" Target="externalLinks/externalLink123.xml"/><Relationship Id="rId327" Type="http://schemas.openxmlformats.org/officeDocument/2006/relationships/externalLink" Target="externalLinks/externalLink319.xml"/><Relationship Id="rId369" Type="http://schemas.openxmlformats.org/officeDocument/2006/relationships/externalLink" Target="externalLinks/externalLink361.xml"/><Relationship Id="rId173" Type="http://schemas.openxmlformats.org/officeDocument/2006/relationships/externalLink" Target="externalLinks/externalLink165.xml"/><Relationship Id="rId229" Type="http://schemas.openxmlformats.org/officeDocument/2006/relationships/externalLink" Target="externalLinks/externalLink221.xml"/><Relationship Id="rId380" Type="http://schemas.openxmlformats.org/officeDocument/2006/relationships/externalLink" Target="externalLinks/externalLink372.xml"/><Relationship Id="rId436" Type="http://schemas.openxmlformats.org/officeDocument/2006/relationships/externalLink" Target="externalLinks/externalLink428.xml"/><Relationship Id="rId240" Type="http://schemas.openxmlformats.org/officeDocument/2006/relationships/externalLink" Target="externalLinks/externalLink232.xml"/><Relationship Id="rId35" Type="http://schemas.openxmlformats.org/officeDocument/2006/relationships/externalLink" Target="externalLinks/externalLink27.xml"/><Relationship Id="rId77" Type="http://schemas.openxmlformats.org/officeDocument/2006/relationships/externalLink" Target="externalLinks/externalLink69.xml"/><Relationship Id="rId100" Type="http://schemas.openxmlformats.org/officeDocument/2006/relationships/externalLink" Target="externalLinks/externalLink92.xml"/><Relationship Id="rId282" Type="http://schemas.openxmlformats.org/officeDocument/2006/relationships/externalLink" Target="externalLinks/externalLink274.xml"/><Relationship Id="rId338" Type="http://schemas.openxmlformats.org/officeDocument/2006/relationships/externalLink" Target="externalLinks/externalLink330.xml"/><Relationship Id="rId8" Type="http://schemas.openxmlformats.org/officeDocument/2006/relationships/worksheet" Target="worksheets/sheet8.xml"/><Relationship Id="rId142" Type="http://schemas.openxmlformats.org/officeDocument/2006/relationships/externalLink" Target="externalLinks/externalLink134.xml"/><Relationship Id="rId184" Type="http://schemas.openxmlformats.org/officeDocument/2006/relationships/externalLink" Target="externalLinks/externalLink176.xml"/><Relationship Id="rId391" Type="http://schemas.openxmlformats.org/officeDocument/2006/relationships/externalLink" Target="externalLinks/externalLink383.xml"/><Relationship Id="rId405" Type="http://schemas.openxmlformats.org/officeDocument/2006/relationships/externalLink" Target="externalLinks/externalLink397.xml"/><Relationship Id="rId447" Type="http://schemas.openxmlformats.org/officeDocument/2006/relationships/externalLink" Target="externalLinks/externalLink439.xml"/><Relationship Id="rId251" Type="http://schemas.openxmlformats.org/officeDocument/2006/relationships/externalLink" Target="externalLinks/externalLink243.xml"/><Relationship Id="rId46" Type="http://schemas.openxmlformats.org/officeDocument/2006/relationships/externalLink" Target="externalLinks/externalLink38.xml"/><Relationship Id="rId293" Type="http://schemas.openxmlformats.org/officeDocument/2006/relationships/externalLink" Target="externalLinks/externalLink285.xml"/><Relationship Id="rId307" Type="http://schemas.openxmlformats.org/officeDocument/2006/relationships/externalLink" Target="externalLinks/externalLink299.xml"/><Relationship Id="rId349" Type="http://schemas.openxmlformats.org/officeDocument/2006/relationships/externalLink" Target="externalLinks/externalLink341.xml"/><Relationship Id="rId88" Type="http://schemas.openxmlformats.org/officeDocument/2006/relationships/externalLink" Target="externalLinks/externalLink80.xml"/><Relationship Id="rId111" Type="http://schemas.openxmlformats.org/officeDocument/2006/relationships/externalLink" Target="externalLinks/externalLink103.xml"/><Relationship Id="rId153" Type="http://schemas.openxmlformats.org/officeDocument/2006/relationships/externalLink" Target="externalLinks/externalLink145.xml"/><Relationship Id="rId195" Type="http://schemas.openxmlformats.org/officeDocument/2006/relationships/externalLink" Target="externalLinks/externalLink187.xml"/><Relationship Id="rId209" Type="http://schemas.openxmlformats.org/officeDocument/2006/relationships/externalLink" Target="externalLinks/externalLink201.xml"/><Relationship Id="rId360" Type="http://schemas.openxmlformats.org/officeDocument/2006/relationships/externalLink" Target="externalLinks/externalLink352.xml"/><Relationship Id="rId416" Type="http://schemas.openxmlformats.org/officeDocument/2006/relationships/externalLink" Target="externalLinks/externalLink408.xml"/><Relationship Id="rId220" Type="http://schemas.openxmlformats.org/officeDocument/2006/relationships/externalLink" Target="externalLinks/externalLink212.xml"/><Relationship Id="rId458" Type="http://schemas.openxmlformats.org/officeDocument/2006/relationships/externalLink" Target="externalLinks/externalLink450.xml"/><Relationship Id="rId15" Type="http://schemas.openxmlformats.org/officeDocument/2006/relationships/externalLink" Target="externalLinks/externalLink7.xml"/><Relationship Id="rId57" Type="http://schemas.openxmlformats.org/officeDocument/2006/relationships/externalLink" Target="externalLinks/externalLink49.xml"/><Relationship Id="rId262" Type="http://schemas.openxmlformats.org/officeDocument/2006/relationships/externalLink" Target="externalLinks/externalLink254.xml"/><Relationship Id="rId318" Type="http://schemas.openxmlformats.org/officeDocument/2006/relationships/externalLink" Target="externalLinks/externalLink310.xml"/><Relationship Id="rId99" Type="http://schemas.openxmlformats.org/officeDocument/2006/relationships/externalLink" Target="externalLinks/externalLink91.xml"/><Relationship Id="rId122" Type="http://schemas.openxmlformats.org/officeDocument/2006/relationships/externalLink" Target="externalLinks/externalLink114.xml"/><Relationship Id="rId164" Type="http://schemas.openxmlformats.org/officeDocument/2006/relationships/externalLink" Target="externalLinks/externalLink156.xml"/><Relationship Id="rId371" Type="http://schemas.openxmlformats.org/officeDocument/2006/relationships/externalLink" Target="externalLinks/externalLink363.xml"/><Relationship Id="rId427" Type="http://schemas.openxmlformats.org/officeDocument/2006/relationships/externalLink" Target="externalLinks/externalLink419.xml"/><Relationship Id="rId26" Type="http://schemas.openxmlformats.org/officeDocument/2006/relationships/externalLink" Target="externalLinks/externalLink18.xml"/><Relationship Id="rId231" Type="http://schemas.openxmlformats.org/officeDocument/2006/relationships/externalLink" Target="externalLinks/externalLink223.xml"/><Relationship Id="rId273" Type="http://schemas.openxmlformats.org/officeDocument/2006/relationships/externalLink" Target="externalLinks/externalLink265.xml"/><Relationship Id="rId329" Type="http://schemas.openxmlformats.org/officeDocument/2006/relationships/externalLink" Target="externalLinks/externalLink321.xml"/><Relationship Id="rId68" Type="http://schemas.openxmlformats.org/officeDocument/2006/relationships/externalLink" Target="externalLinks/externalLink60.xml"/><Relationship Id="rId133" Type="http://schemas.openxmlformats.org/officeDocument/2006/relationships/externalLink" Target="externalLinks/externalLink125.xml"/><Relationship Id="rId175" Type="http://schemas.openxmlformats.org/officeDocument/2006/relationships/externalLink" Target="externalLinks/externalLink167.xml"/><Relationship Id="rId340" Type="http://schemas.openxmlformats.org/officeDocument/2006/relationships/externalLink" Target="externalLinks/externalLink332.xml"/><Relationship Id="rId200" Type="http://schemas.openxmlformats.org/officeDocument/2006/relationships/externalLink" Target="externalLinks/externalLink192.xml"/><Relationship Id="rId382" Type="http://schemas.openxmlformats.org/officeDocument/2006/relationships/externalLink" Target="externalLinks/externalLink374.xml"/><Relationship Id="rId438" Type="http://schemas.openxmlformats.org/officeDocument/2006/relationships/externalLink" Target="externalLinks/externalLink430.xml"/><Relationship Id="rId242" Type="http://schemas.openxmlformats.org/officeDocument/2006/relationships/externalLink" Target="externalLinks/externalLink234.xml"/><Relationship Id="rId284" Type="http://schemas.openxmlformats.org/officeDocument/2006/relationships/externalLink" Target="externalLinks/externalLink276.xml"/><Relationship Id="rId37" Type="http://schemas.openxmlformats.org/officeDocument/2006/relationships/externalLink" Target="externalLinks/externalLink29.xml"/><Relationship Id="rId79" Type="http://schemas.openxmlformats.org/officeDocument/2006/relationships/externalLink" Target="externalLinks/externalLink71.xml"/><Relationship Id="rId102" Type="http://schemas.openxmlformats.org/officeDocument/2006/relationships/externalLink" Target="externalLinks/externalLink94.xml"/><Relationship Id="rId144" Type="http://schemas.openxmlformats.org/officeDocument/2006/relationships/externalLink" Target="externalLinks/externalLink136.xml"/><Relationship Id="rId90" Type="http://schemas.openxmlformats.org/officeDocument/2006/relationships/externalLink" Target="externalLinks/externalLink82.xml"/><Relationship Id="rId186" Type="http://schemas.openxmlformats.org/officeDocument/2006/relationships/externalLink" Target="externalLinks/externalLink178.xml"/><Relationship Id="rId351" Type="http://schemas.openxmlformats.org/officeDocument/2006/relationships/externalLink" Target="externalLinks/externalLink343.xml"/><Relationship Id="rId393" Type="http://schemas.openxmlformats.org/officeDocument/2006/relationships/externalLink" Target="externalLinks/externalLink385.xml"/><Relationship Id="rId407" Type="http://schemas.openxmlformats.org/officeDocument/2006/relationships/externalLink" Target="externalLinks/externalLink399.xml"/><Relationship Id="rId449" Type="http://schemas.openxmlformats.org/officeDocument/2006/relationships/externalLink" Target="externalLinks/externalLink441.xml"/><Relationship Id="rId211" Type="http://schemas.openxmlformats.org/officeDocument/2006/relationships/externalLink" Target="externalLinks/externalLink203.xml"/><Relationship Id="rId253" Type="http://schemas.openxmlformats.org/officeDocument/2006/relationships/externalLink" Target="externalLinks/externalLink245.xml"/><Relationship Id="rId295" Type="http://schemas.openxmlformats.org/officeDocument/2006/relationships/externalLink" Target="externalLinks/externalLink287.xml"/><Relationship Id="rId309" Type="http://schemas.openxmlformats.org/officeDocument/2006/relationships/externalLink" Target="externalLinks/externalLink301.xml"/><Relationship Id="rId460" Type="http://schemas.openxmlformats.org/officeDocument/2006/relationships/theme" Target="theme/theme1.xml"/><Relationship Id="rId48" Type="http://schemas.openxmlformats.org/officeDocument/2006/relationships/externalLink" Target="externalLinks/externalLink40.xml"/><Relationship Id="rId113" Type="http://schemas.openxmlformats.org/officeDocument/2006/relationships/externalLink" Target="externalLinks/externalLink105.xml"/><Relationship Id="rId320" Type="http://schemas.openxmlformats.org/officeDocument/2006/relationships/externalLink" Target="externalLinks/externalLink312.xml"/><Relationship Id="rId155" Type="http://schemas.openxmlformats.org/officeDocument/2006/relationships/externalLink" Target="externalLinks/externalLink147.xml"/><Relationship Id="rId197" Type="http://schemas.openxmlformats.org/officeDocument/2006/relationships/externalLink" Target="externalLinks/externalLink189.xml"/><Relationship Id="rId362" Type="http://schemas.openxmlformats.org/officeDocument/2006/relationships/externalLink" Target="externalLinks/externalLink354.xml"/><Relationship Id="rId418" Type="http://schemas.openxmlformats.org/officeDocument/2006/relationships/externalLink" Target="externalLinks/externalLink410.xml"/><Relationship Id="rId222" Type="http://schemas.openxmlformats.org/officeDocument/2006/relationships/externalLink" Target="externalLinks/externalLink214.xml"/><Relationship Id="rId264" Type="http://schemas.openxmlformats.org/officeDocument/2006/relationships/externalLink" Target="externalLinks/externalLink256.xml"/><Relationship Id="rId17" Type="http://schemas.openxmlformats.org/officeDocument/2006/relationships/externalLink" Target="externalLinks/externalLink9.xml"/><Relationship Id="rId59" Type="http://schemas.openxmlformats.org/officeDocument/2006/relationships/externalLink" Target="externalLinks/externalLink51.xml"/><Relationship Id="rId124" Type="http://schemas.openxmlformats.org/officeDocument/2006/relationships/externalLink" Target="externalLinks/externalLink116.xml"/><Relationship Id="rId70" Type="http://schemas.openxmlformats.org/officeDocument/2006/relationships/externalLink" Target="externalLinks/externalLink62.xml"/><Relationship Id="rId166" Type="http://schemas.openxmlformats.org/officeDocument/2006/relationships/externalLink" Target="externalLinks/externalLink158.xml"/><Relationship Id="rId331" Type="http://schemas.openxmlformats.org/officeDocument/2006/relationships/externalLink" Target="externalLinks/externalLink323.xml"/><Relationship Id="rId373" Type="http://schemas.openxmlformats.org/officeDocument/2006/relationships/externalLink" Target="externalLinks/externalLink365.xml"/><Relationship Id="rId429" Type="http://schemas.openxmlformats.org/officeDocument/2006/relationships/externalLink" Target="externalLinks/externalLink421.xml"/><Relationship Id="rId1" Type="http://schemas.openxmlformats.org/officeDocument/2006/relationships/worksheet" Target="worksheets/sheet1.xml"/><Relationship Id="rId233" Type="http://schemas.openxmlformats.org/officeDocument/2006/relationships/externalLink" Target="externalLinks/externalLink225.xml"/><Relationship Id="rId440" Type="http://schemas.openxmlformats.org/officeDocument/2006/relationships/externalLink" Target="externalLinks/externalLink432.xml"/><Relationship Id="rId28" Type="http://schemas.openxmlformats.org/officeDocument/2006/relationships/externalLink" Target="externalLinks/externalLink20.xml"/><Relationship Id="rId275" Type="http://schemas.openxmlformats.org/officeDocument/2006/relationships/externalLink" Target="externalLinks/externalLink267.xml"/><Relationship Id="rId300" Type="http://schemas.openxmlformats.org/officeDocument/2006/relationships/externalLink" Target="externalLinks/externalLink292.xml"/><Relationship Id="rId81" Type="http://schemas.openxmlformats.org/officeDocument/2006/relationships/externalLink" Target="externalLinks/externalLink73.xml"/><Relationship Id="rId135" Type="http://schemas.openxmlformats.org/officeDocument/2006/relationships/externalLink" Target="externalLinks/externalLink127.xml"/><Relationship Id="rId177" Type="http://schemas.openxmlformats.org/officeDocument/2006/relationships/externalLink" Target="externalLinks/externalLink169.xml"/><Relationship Id="rId342" Type="http://schemas.openxmlformats.org/officeDocument/2006/relationships/externalLink" Target="externalLinks/externalLink334.xml"/><Relationship Id="rId384" Type="http://schemas.openxmlformats.org/officeDocument/2006/relationships/externalLink" Target="externalLinks/externalLink376.xml"/><Relationship Id="rId202" Type="http://schemas.openxmlformats.org/officeDocument/2006/relationships/externalLink" Target="externalLinks/externalLink194.xml"/><Relationship Id="rId244" Type="http://schemas.openxmlformats.org/officeDocument/2006/relationships/externalLink" Target="externalLinks/externalLink236.xml"/><Relationship Id="rId39" Type="http://schemas.openxmlformats.org/officeDocument/2006/relationships/externalLink" Target="externalLinks/externalLink31.xml"/><Relationship Id="rId286" Type="http://schemas.openxmlformats.org/officeDocument/2006/relationships/externalLink" Target="externalLinks/externalLink278.xml"/><Relationship Id="rId451" Type="http://schemas.openxmlformats.org/officeDocument/2006/relationships/externalLink" Target="externalLinks/externalLink443.xml"/><Relationship Id="rId50" Type="http://schemas.openxmlformats.org/officeDocument/2006/relationships/externalLink" Target="externalLinks/externalLink42.xml"/><Relationship Id="rId104" Type="http://schemas.openxmlformats.org/officeDocument/2006/relationships/externalLink" Target="externalLinks/externalLink96.xml"/><Relationship Id="rId146" Type="http://schemas.openxmlformats.org/officeDocument/2006/relationships/externalLink" Target="externalLinks/externalLink138.xml"/><Relationship Id="rId188" Type="http://schemas.openxmlformats.org/officeDocument/2006/relationships/externalLink" Target="externalLinks/externalLink180.xml"/><Relationship Id="rId311" Type="http://schemas.openxmlformats.org/officeDocument/2006/relationships/externalLink" Target="externalLinks/externalLink303.xml"/><Relationship Id="rId353" Type="http://schemas.openxmlformats.org/officeDocument/2006/relationships/externalLink" Target="externalLinks/externalLink345.xml"/><Relationship Id="rId395" Type="http://schemas.openxmlformats.org/officeDocument/2006/relationships/externalLink" Target="externalLinks/externalLink387.xml"/><Relationship Id="rId409" Type="http://schemas.openxmlformats.org/officeDocument/2006/relationships/externalLink" Target="externalLinks/externalLink401.xml"/><Relationship Id="rId92" Type="http://schemas.openxmlformats.org/officeDocument/2006/relationships/externalLink" Target="externalLinks/externalLink84.xml"/><Relationship Id="rId213" Type="http://schemas.openxmlformats.org/officeDocument/2006/relationships/externalLink" Target="externalLinks/externalLink205.xml"/><Relationship Id="rId420" Type="http://schemas.openxmlformats.org/officeDocument/2006/relationships/externalLink" Target="externalLinks/externalLink412.xml"/><Relationship Id="rId255" Type="http://schemas.openxmlformats.org/officeDocument/2006/relationships/externalLink" Target="externalLinks/externalLink247.xml"/><Relationship Id="rId297" Type="http://schemas.openxmlformats.org/officeDocument/2006/relationships/externalLink" Target="externalLinks/externalLink289.xml"/><Relationship Id="rId46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19\Monthly%20Servicer%20Report%2012th%20Trust%20-%20May%20201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19\Monthly%20Servicer%20Report%2012th%20Trust%20-%20Feb%202020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sep%202020.xlsx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sep%202020.xlsx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sep%202020.xlsx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oct%202020.xlsx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oct%202020.xlsx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oct%202020.xlsx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nov%202020.xlsx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nov%202020.xlsx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nov%202020.xlsx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dec%20202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mar%202020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dec%202020.xlsx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dec%202020.xlsx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ddc%202020.xlsx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jan%202021.xlsx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jan%202021.xlsx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jan%202021.xlsx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feb%202021.xlsx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feb%202021.xlsx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feb%202021.xlsx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mar%20202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Mar%202020.xlsx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mar%202021.xlsx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mar%202021.xlsx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abr%202021.xlsx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abr%202021.xlsx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1\Monthly%20Servicer%20Report%208th%20Trust%20-%20abr%202021.xlsx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1\Monthly%20Servicer%20Report%208th%20Trust%20-Abr%202021.xlsx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may%202021.xlsx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may%202021.xlsx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1\Monthly%20Servicer%20Report%208th%20Trust%20-%20may%202021.xlsx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1\Monthly%20Servicer%20Report%208th%20Trust%20-May%20202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abr%202020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jun%202021.xlsx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jun%202021.xlsx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1\Monthly%20Servicer%20Report%208th%20Trust%20-%20jun%202021.xlsx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1\Monthly%20Servicer%20Report%208th%20Trust%20-Jun%202021.xlsx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jul%202021.xlsx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jul%202021.xlsx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1\Monthly%20Servicer%20Report%208th%20Trust%20-%20jul%202021.xlsx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1\Monthly%20Servicer%20Report%208th%20Trust%20-Jul%202021.xlsx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ago%202021.xlsx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ago%20202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Abr%202020.xlsx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1\Monthly%20Servicer%20Report%208th%20Trust%20-%20ago%202021.xlsx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1\Monthly%20Servicer%20Report%208th%20Trust%20-Ago%202021.xlsx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sep%202021.xlsx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sep%202021.xlsx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1\Monthly%20Servicer%20Report%208th%20Trust%20-%20Sep%202021.xlsx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1\Monthly%20Servicer%20Report%208th%20Trust%20-sep%202021.xlsx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oct%202021.xlsx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oct%202021.xlsx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1\Monthly%20Servicer%20Report%208th%20Trust%20-%20oct%202021.xlsx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1\Monthly%20Servicer%20Report%208th%20Trust%20-oct%20202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may%202020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nov%202021.xlsx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nov%202021.xlsx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1\Monthly%20Servicer%20Report%208th%20Trust%20-%20nov%202021.xlsx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1\Monthly%20Servicer%20Report%208th%20Trust%20-nov%202021.xlsx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dic%202021.xlsx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dic%202021.xlsx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1\Monthly%20Servicer%20Report%208th%20Trust%20-%20dic%202021.xlsx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1\Monthly%20Servicer%20Report%208th%20Trust%20-dic%202021.xlsx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.5\panama\Finanzas\Fideicomisos\8to%20Fideicomiso\Monthly%20Servicer%20Report\2022\Monthly%20Servicer%20Report%208th%20Trust%20-%20Ene%202022.xlsx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.5\panama\Finanzas\Fideicomisos\8to%20Fideicomiso\Monthly%20Servicer%20Report\2022\Monthly%20Servicer%20Report%208th%20Trust%20-%20feb%202022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may%202020.xlsx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.5\panama\Finanzas\Fideicomisos\8to%20Fideicomiso\Monthly%20Servicer%20Report\2022\Monthly%20Servicer%20Report%208th%20Trust%20-%20mar%202022.xlsx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Abr%202022\Monthly%20Servicer%20Report%208th%20Trust%20-%20Abr%202022.xlsx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19\Monthly%20Servicer%20Report%2010th%20Trust%20-%20May%202019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19\Monthly%20Servicer%20Report%2010th%20Trust%20-%20Jun%202019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19\Monthly%20Servicer%20Report%2010th%20Trust%20-%20Jul%202019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19\Monthly%20Servicer%20Report%2010th%20Trust%20-%20Aug%202019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19\Monthly%20Servicer%20Report%2010th%20Trust%20-%20Sep%202019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19\Monthly%20Servicer%20Report%2010th%20Trust%20-%20oct%202019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19\Monthly%20Servicer%20Report%2010th%20Trust%20-%20Oct%202019.xlsx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19\Monthly%20Servicer%20Report%2010th%20Trust%20-%20nov%20201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jun%202020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19\Monthly%20Servicer%20Report%2010th%20Trust%20-%20Nov%202019.xlsx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19\Monthly%20Servicer%20Report%2010th%20Trust%20-%20dec%202019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19\Monthly%20Servicer%20Report%2010th%20Trust%20-%20Dec%202019.xlsx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19\Monthly%20Servicer%20Report%2010th%20Trust%20-%20Jan%202020.xls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Jan%202020.xlsx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19\Monthly%20Servicer%20Report%2010th%20Trust%20-%20Feb%202020.xls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Feb%202020.xlsx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mar%202020.xls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Mar%202020.xlsx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abr%2020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jun%202020.xlsx" TargetMode="External"/></Relationships>
</file>

<file path=xl/externalLinks/_rels/externalLink1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Abr%202020%20FINAL.xlsx" TargetMode="External"/></Relationships>
</file>

<file path=xl/externalLinks/_rels/externalLink1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may%202020.xls" TargetMode="External"/></Relationships>
</file>

<file path=xl/externalLinks/_rels/externalLink1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%20may%202020.xls" TargetMode="External"/></Relationships>
</file>

<file path=xl/externalLinks/_rels/externalLink1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May%202020.xlsx" TargetMode="External"/></Relationships>
</file>

<file path=xl/externalLinks/_rels/externalLink1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jun%202020.xls" TargetMode="External"/></Relationships>
</file>

<file path=xl/externalLinks/_rels/externalLink1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%20jun%202020.xls" TargetMode="External"/></Relationships>
</file>

<file path=xl/externalLinks/_rels/externalLink1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Jun%202020.xlsx" TargetMode="External"/></Relationships>
</file>

<file path=xl/externalLinks/_rels/externalLink1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jul%202020.xls" TargetMode="External"/></Relationships>
</file>

<file path=xl/externalLinks/_rels/externalLink1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%20jul%202020.xls" TargetMode="External"/></Relationships>
</file>

<file path=xl/externalLinks/_rels/externalLink1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%20jln%20202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jul%202020.xls" TargetMode="External"/></Relationships>
</file>

<file path=xl/externalLinks/_rels/externalLink1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Jul%202020.xlsx" TargetMode="External"/></Relationships>
</file>

<file path=xl/externalLinks/_rels/externalLink1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ago%202020.xls" TargetMode="External"/></Relationships>
</file>

<file path=xl/externalLinks/_rels/externalLink1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%20ago%202020.xls" TargetMode="External"/></Relationships>
</file>

<file path=xl/externalLinks/_rels/externalLink1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%20aug%202020.xls" TargetMode="External"/></Relationships>
</file>

<file path=xl/externalLinks/_rels/externalLink1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Aug%202020.xlsx" TargetMode="External"/></Relationships>
</file>

<file path=xl/externalLinks/_rels/externalLink1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sep%202020.xls" TargetMode="External"/></Relationships>
</file>

<file path=xl/externalLinks/_rels/externalLink1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%20sep%202020.xls" TargetMode="External"/></Relationships>
</file>

<file path=xl/externalLinks/_rels/externalLink1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Sep%202020.xlsx" TargetMode="External"/></Relationships>
</file>

<file path=xl/externalLinks/_rels/externalLink1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oct%202020.xls" TargetMode="External"/></Relationships>
</file>

<file path=xl/externalLinks/_rels/externalLink1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%20oct%2020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19\Monthly%20Servicer%20Report%2012th%20Trust%20-%20jun%20201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jul%202020.xlsx" TargetMode="External"/></Relationships>
</file>

<file path=xl/externalLinks/_rels/externalLink2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Oct%202020.xlsx" TargetMode="External"/></Relationships>
</file>

<file path=xl/externalLinks/_rels/externalLink2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nov%202020.xls" TargetMode="External"/></Relationships>
</file>

<file path=xl/externalLinks/_rels/externalLink2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%20nov%202020.xls" TargetMode="External"/></Relationships>
</file>

<file path=xl/externalLinks/_rels/externalLink2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Nov%202020.xlsx" TargetMode="External"/></Relationships>
</file>

<file path=xl/externalLinks/_rels/externalLink2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dec%202020.xls" TargetMode="External"/></Relationships>
</file>

<file path=xl/externalLinks/_rels/externalLink2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%20dec%202020.xls" TargetMode="External"/></Relationships>
</file>

<file path=xl/externalLinks/_rels/externalLink2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Dec%202020.xlsx" TargetMode="External"/></Relationships>
</file>

<file path=xl/externalLinks/_rels/externalLink2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jan%202021.xls" TargetMode="External"/></Relationships>
</file>

<file path=xl/externalLinks/_rels/externalLink2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%20jan%202021.xls" TargetMode="External"/></Relationships>
</file>

<file path=xl/externalLinks/_rels/externalLink2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%20jan%202021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aug%202020.xls" TargetMode="External"/></Relationships>
</file>

<file path=xl/externalLinks/_rels/externalLink2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feb%202021.xls" TargetMode="External"/></Relationships>
</file>

<file path=xl/externalLinks/_rels/externalLink2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%20feb%202021.xls" TargetMode="External"/></Relationships>
</file>

<file path=xl/externalLinks/_rels/externalLink2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%20feb%202021.xlsx" TargetMode="External"/></Relationships>
</file>

<file path=xl/externalLinks/_rels/externalLink2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mar%202021.xls" TargetMode="External"/></Relationships>
</file>

<file path=xl/externalLinks/_rels/externalLink2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%20mar%202021.xls" TargetMode="External"/></Relationships>
</file>

<file path=xl/externalLinks/_rels/externalLink2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mar%202021.xls" TargetMode="External"/></Relationships>
</file>

<file path=xl/externalLinks/_rels/externalLink2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%20mar%202021.xlsx" TargetMode="External"/></Relationships>
</file>

<file path=xl/externalLinks/_rels/externalLink2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abr%202021.xls" TargetMode="External"/></Relationships>
</file>

<file path=xl/externalLinks/_rels/externalLink2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%20abr%202021.xls" TargetMode="External"/></Relationships>
</file>

<file path=xl/externalLinks/_rels/externalLink2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%20abr%202021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aug%202020.xlsx" TargetMode="External"/></Relationships>
</file>

<file path=xl/externalLinks/_rels/externalLink2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%20may%202021.xls" TargetMode="External"/></Relationships>
</file>

<file path=xl/externalLinks/_rels/externalLink2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may%202021.xls" TargetMode="External"/></Relationships>
</file>

<file path=xl/externalLinks/_rels/externalLink2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%20may%202021.xlsx" TargetMode="External"/></Relationships>
</file>

<file path=xl/externalLinks/_rels/externalLink2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%20jun%202021.xls" TargetMode="External"/></Relationships>
</file>

<file path=xl/externalLinks/_rels/externalLink2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jun%202021.xls" TargetMode="External"/></Relationships>
</file>

<file path=xl/externalLinks/_rels/externalLink2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%20jun%202021.xlsx" TargetMode="External"/></Relationships>
</file>

<file path=xl/externalLinks/_rels/externalLink2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%20jul%202021.xls" TargetMode="External"/></Relationships>
</file>

<file path=xl/externalLinks/_rels/externalLink2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jul%202021.xls" TargetMode="External"/></Relationships>
</file>

<file path=xl/externalLinks/_rels/externalLink2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%20jul%202021.xlsx" TargetMode="External"/></Relationships>
</file>

<file path=xl/externalLinks/_rels/externalLink2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ago%20202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sep%202020.xls" TargetMode="External"/></Relationships>
</file>

<file path=xl/externalLinks/_rels/externalLink2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%20ago%202021.xls" TargetMode="External"/></Relationships>
</file>

<file path=xl/externalLinks/_rels/externalLink2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ago%202021.xlsx" TargetMode="External"/></Relationships>
</file>

<file path=xl/externalLinks/_rels/externalLink2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sep%202021.xls" TargetMode="External"/></Relationships>
</file>

<file path=xl/externalLinks/_rels/externalLink2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%20sep%202021.xls" TargetMode="External"/></Relationships>
</file>

<file path=xl/externalLinks/_rels/externalLink2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sep%202021.xlsx" TargetMode="External"/></Relationships>
</file>

<file path=xl/externalLinks/_rels/externalLink2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oct%202021.xls" TargetMode="External"/></Relationships>
</file>

<file path=xl/externalLinks/_rels/externalLink2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%20oct%202021.xls" TargetMode="External"/></Relationships>
</file>

<file path=xl/externalLinks/_rels/externalLink2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Oct%202021.xlsx" TargetMode="External"/></Relationships>
</file>

<file path=xl/externalLinks/_rels/externalLink2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%20nov%202021.xls" TargetMode="External"/></Relationships>
</file>

<file path=xl/externalLinks/_rels/externalLink2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nov%20202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sep%202020.xlsx" TargetMode="External"/></Relationships>
</file>

<file path=xl/externalLinks/_rels/externalLink2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nov%202021.xlsx" TargetMode="External"/></Relationships>
</file>

<file path=xl/externalLinks/_rels/externalLink2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%20dic%202021.xls" TargetMode="External"/></Relationships>
</file>

<file path=xl/externalLinks/_rels/externalLink2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dic%202021.xls" TargetMode="External"/></Relationships>
</file>

<file path=xl/externalLinks/_rels/externalLink2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dic%202021.xlsx" TargetMode="External"/></Relationships>
</file>

<file path=xl/externalLinks/_rels/externalLink2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.5\panama\Finanzas\Fideicomisos\10mo%20Fideicomiso\Servicer's%20Reports\2022\Monthly%20Servicer%20Report%2010th%20Trust%20-%20Ene%202022.xlsx" TargetMode="External"/></Relationships>
</file>

<file path=xl/externalLinks/_rels/externalLink2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.5\panama\Finanzas\Fideicomisos\10mo%20Fideicomiso\Servicer's%20Reports\2022\Monthly%20Servicer%20Report%2010th%20Trust%20-%20feb%202022.xlsx" TargetMode="External"/></Relationships>
</file>

<file path=xl/externalLinks/_rels/externalLink2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.5\panama\Finanzas\Fideicomisos\10mo%20Fideicomiso\Servicer's%20Reports\2022\Monthly%20Servicer%20Report%2010th%20Trust%20-%20mar%202022.xlsx" TargetMode="External"/></Relationships>
</file>

<file path=xl/externalLinks/_rels/externalLink2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Abr%202022\Monthly%20Servicer%20Report%2010th%20Trust%20-%20Abr%202022.xlsx" TargetMode="External"/></Relationships>
</file>

<file path=xl/externalLinks/_rels/externalLink2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May%202022\Monthly%20Servicer%20Report%2010th%20Trust%20-%20May%202022.xlsx" TargetMode="External"/></Relationships>
</file>

<file path=xl/externalLinks/_rels/externalLink2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jun%202022\Monthly%20Servicer%20Report%2010th%20Trust%20-%20jun%202022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oct%202020.xls" TargetMode="External"/></Relationships>
</file>

<file path=xl/externalLinks/_rels/externalLink2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jul%202022\Monthly%20Servicer%20Report%2010th%20Trust%20-%20jul%202022.xlsx" TargetMode="External"/></Relationships>
</file>

<file path=xl/externalLinks/_rels/externalLink2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ago%202022\Monthly%20Servicer%20Report%2010th%20Trust%20-%20ago%202022.xlsx" TargetMode="External"/></Relationships>
</file>

<file path=xl/externalLinks/_rels/externalLink2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19\Monthly%20Servicer%20Report%2013th%20Trust%20-%20May%202019.xls" TargetMode="External"/></Relationships>
</file>

<file path=xl/externalLinks/_rels/externalLink2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19\Monthly%20Servicer%20Report%2013th%20Trust%20-%20Jun%202019.xls" TargetMode="External"/></Relationships>
</file>

<file path=xl/externalLinks/_rels/externalLink2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19\Monthly%20Servicer%20Report%2013th%20Trust%20-%20Jul%202019.xls" TargetMode="External"/></Relationships>
</file>

<file path=xl/externalLinks/_rels/externalLink2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19\Monthly%20Servicer%20Report%2013th%20Trust%20-%20aug%202019.xls" TargetMode="External"/></Relationships>
</file>

<file path=xl/externalLinks/_rels/externalLink2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19\Monthly%20Servicer%20Report%2013th%20Trust%20-%20sep%202019.xls" TargetMode="External"/></Relationships>
</file>

<file path=xl/externalLinks/_rels/externalLink2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19\Monthly%20Servicer%20Report%2013th%20Trust%20-%20oct%202019.xls" TargetMode="External"/></Relationships>
</file>

<file path=xl/externalLinks/_rels/externalLink2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19\Monthly%20Servicer%20Report%2013th%20Trust%20-%20Oct%202019.xlsx" TargetMode="External"/></Relationships>
</file>

<file path=xl/externalLinks/_rels/externalLink2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19\Monthly%20Servicer%20Report%2013th%20Trust%20-%20nov%202019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Oct%202020.xlsx" TargetMode="External"/></Relationships>
</file>

<file path=xl/externalLinks/_rels/externalLink2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19\Monthly%20Servicer%20Report%2013th%20Trust%20-%20Dec%202019.xls" TargetMode="External"/></Relationships>
</file>

<file path=xl/externalLinks/_rels/externalLink2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19\Monthly%20Servicer%20Report%2013th%20Trust%20-%20Jan%202020.xls" TargetMode="External"/></Relationships>
</file>

<file path=xl/externalLinks/_rels/externalLink2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19\Monthly%20Servicer%20Report%2013th%20Trust%20-%20Feb%202020.xls" TargetMode="External"/></Relationships>
</file>

<file path=xl/externalLinks/_rels/externalLink2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Feb%202020.xlsx" TargetMode="External"/></Relationships>
</file>

<file path=xl/externalLinks/_rels/externalLink2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mar%202020.xls" TargetMode="External"/></Relationships>
</file>

<file path=xl/externalLinks/_rels/externalLink2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Mar%202020.xlsx" TargetMode="External"/></Relationships>
</file>

<file path=xl/externalLinks/_rels/externalLink2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abr%202020.xls" TargetMode="External"/></Relationships>
</file>

<file path=xl/externalLinks/_rels/externalLink2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abr%202020.xlsx" TargetMode="External"/></Relationships>
</file>

<file path=xl/externalLinks/_rels/externalLink2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may%202020.xls" TargetMode="External"/></Relationships>
</file>

<file path=xl/externalLinks/_rels/externalLink2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May%202020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nov%202020.xls" TargetMode="External"/></Relationships>
</file>

<file path=xl/externalLinks/_rels/externalLink2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jun%202020.xls" TargetMode="External"/></Relationships>
</file>

<file path=xl/externalLinks/_rels/externalLink2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Jun%202020.xlsx" TargetMode="External"/></Relationships>
</file>

<file path=xl/externalLinks/_rels/externalLink2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jul%202020.xls" TargetMode="External"/></Relationships>
</file>

<file path=xl/externalLinks/_rels/externalLink2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Jul%202020.xlsx" TargetMode="External"/></Relationships>
</file>

<file path=xl/externalLinks/_rels/externalLink2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auig%202020.xls" TargetMode="External"/></Relationships>
</file>

<file path=xl/externalLinks/_rels/externalLink2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aug%202020.xls" TargetMode="External"/></Relationships>
</file>

<file path=xl/externalLinks/_rels/externalLink2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aug%202020.xlsx" TargetMode="External"/></Relationships>
</file>

<file path=xl/externalLinks/_rels/externalLink2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sep%202020.xls" TargetMode="External"/></Relationships>
</file>

<file path=xl/externalLinks/_rels/externalLink2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Sep%202020.xlsx" TargetMode="External"/></Relationships>
</file>

<file path=xl/externalLinks/_rels/externalLink2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oct%202020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nov%202020.xlsx" TargetMode="External"/></Relationships>
</file>

<file path=xl/externalLinks/_rels/externalLink2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Oct%202020.xlsx" TargetMode="External"/></Relationships>
</file>

<file path=xl/externalLinks/_rels/externalLink2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nov%202020.xls" TargetMode="External"/></Relationships>
</file>

<file path=xl/externalLinks/_rels/externalLink2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Nov%202020.xlsx" TargetMode="External"/></Relationships>
</file>

<file path=xl/externalLinks/_rels/externalLink2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dec%202020.xls" TargetMode="External"/></Relationships>
</file>

<file path=xl/externalLinks/_rels/externalLink2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Dec%202020.xlsx" TargetMode="External"/></Relationships>
</file>

<file path=xl/externalLinks/_rels/externalLink2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jan%202021.xls" TargetMode="External"/></Relationships>
</file>

<file path=xl/externalLinks/_rels/externalLink2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jan%202021.xls" TargetMode="External"/></Relationships>
</file>

<file path=xl/externalLinks/_rels/externalLink2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jan%202021.xlsx" TargetMode="External"/></Relationships>
</file>

<file path=xl/externalLinks/_rels/externalLink2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Jan%202021.xlsx" TargetMode="External"/></Relationships>
</file>

<file path=xl/externalLinks/_rels/externalLink2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feb%20202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dec%202020.xls" TargetMode="External"/></Relationships>
</file>

<file path=xl/externalLinks/_rels/externalLink2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feb%202021.xls" TargetMode="External"/></Relationships>
</file>

<file path=xl/externalLinks/_rels/externalLink2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feb%202021.xlsx" TargetMode="External"/></Relationships>
</file>

<file path=xl/externalLinks/_rels/externalLink2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Feb%202021.xlsx" TargetMode="External"/></Relationships>
</file>

<file path=xl/externalLinks/_rels/externalLink2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mar%202021.xls" TargetMode="External"/></Relationships>
</file>

<file path=xl/externalLinks/_rels/externalLink2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mar%202021.xls" TargetMode="External"/></Relationships>
</file>

<file path=xl/externalLinks/_rels/externalLink2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mar%202021.xlsx" TargetMode="External"/></Relationships>
</file>

<file path=xl/externalLinks/_rels/externalLink2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Mar%202021.xlsx" TargetMode="External"/></Relationships>
</file>

<file path=xl/externalLinks/_rels/externalLink2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abr%202021.xls" TargetMode="External"/></Relationships>
</file>

<file path=xl/externalLinks/_rels/externalLink2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Abr%202021.xlsx" TargetMode="External"/></Relationships>
</file>

<file path=xl/externalLinks/_rels/externalLink2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may%202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19\Monthly%20Servicer%20Report%2012th%20Trust%20-%20Jul%202019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dec%202020.xlsx" TargetMode="External"/></Relationships>
</file>

<file path=xl/externalLinks/_rels/externalLink3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May%202021.xlsx" TargetMode="External"/></Relationships>
</file>

<file path=xl/externalLinks/_rels/externalLink3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jun%202021.xls" TargetMode="External"/></Relationships>
</file>

<file path=xl/externalLinks/_rels/externalLink3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Jun%202021.xlsx" TargetMode="External"/></Relationships>
</file>

<file path=xl/externalLinks/_rels/externalLink3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jul%202021.xls" TargetMode="External"/></Relationships>
</file>

<file path=xl/externalLinks/_rels/externalLink3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Jul%202021.xlsx" TargetMode="External"/></Relationships>
</file>

<file path=xl/externalLinks/_rels/externalLink3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ago%202021.xls" TargetMode="External"/></Relationships>
</file>

<file path=xl/externalLinks/_rels/externalLink3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Ago%202021.xlsx" TargetMode="External"/></Relationships>
</file>

<file path=xl/externalLinks/_rels/externalLink3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sep%202021.xls" TargetMode="External"/></Relationships>
</file>

<file path=xl/externalLinks/_rels/externalLink3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Sep%202021.xlsx" TargetMode="External"/></Relationships>
</file>

<file path=xl/externalLinks/_rels/externalLink3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oct%20202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jan%202021.xls" TargetMode="External"/></Relationships>
</file>

<file path=xl/externalLinks/_rels/externalLink3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Oct%202021.xlsx" TargetMode="External"/></Relationships>
</file>

<file path=xl/externalLinks/_rels/externalLink3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dic%202021.xls" TargetMode="External"/></Relationships>
</file>

<file path=xl/externalLinks/_rels/externalLink3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Dic%202021.xlsx" TargetMode="External"/></Relationships>
</file>

<file path=xl/externalLinks/_rels/externalLink3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.5\panama\Finanzas\Fideicomisos\13er%20Fideicomiso\Servicer's%20Reports\2022\Monthly%20Servicer%20Report%2013th%20Trust%20-%20Jan%202022.xlsx" TargetMode="External"/></Relationships>
</file>

<file path=xl/externalLinks/_rels/externalLink3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.5\panama\Finanzas\Fideicomisos\13er%20Fideicomiso\Servicer's%20Reports\2022\Monthly%20Servicer%20Report%2013th%20Trust%20-%20feb%202022.xlsx" TargetMode="External"/></Relationships>
</file>

<file path=xl/externalLinks/_rels/externalLink3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.5\panama\Finanzas\Fideicomisos\13er%20Fideicomiso\Servicer's%20Reports\2022\Monthly%20Servicer%20Report%2013th%20Trust%20-%20mar%202022.xlsx" TargetMode="External"/></Relationships>
</file>

<file path=xl/externalLinks/_rels/externalLink3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Abr%202022\Monthly%20Servicer%20Report%2013th%20Trust%20-%20Abr%202022.xlsx" TargetMode="External"/></Relationships>
</file>

<file path=xl/externalLinks/_rels/externalLink3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may%202022\Monthly%20Servicer%20Report%2013th%20Trust%20-%20may%202022.xlsx" TargetMode="External"/></Relationships>
</file>

<file path=xl/externalLinks/_rels/externalLink3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jun%202022\Monthly%20Servicer%20Report%2013th%20Trust%20-%20jun%202022.xlsx" TargetMode="External"/></Relationships>
</file>

<file path=xl/externalLinks/_rels/externalLink3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jul%202022\Monthly%20Servicer%20Report%2013th%20Trust%20-%20jul%202022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jan%202021.xls" TargetMode="External"/></Relationships>
</file>

<file path=xl/externalLinks/_rels/externalLink3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ago%202022\Monthly%20Servicer%20Report%2013th%20Trust%20-%20ago%202022.xlsx" TargetMode="External"/></Relationships>
</file>

<file path=xl/externalLinks/_rels/externalLink3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sep%202022\Monthly%20Servicer%20Report%2013th%20Trust%20-%20sep%202022.xlsx" TargetMode="External"/></Relationships>
</file>

<file path=xl/externalLinks/_rels/externalLink3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May%2019.xls" TargetMode="External"/></Relationships>
</file>

<file path=xl/externalLinks/_rels/externalLink3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jun%2019.xls" TargetMode="External"/></Relationships>
</file>

<file path=xl/externalLinks/_rels/externalLink3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Jul%2019.xls" TargetMode="External"/></Relationships>
</file>

<file path=xl/externalLinks/_rels/externalLink3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Aug%2019.xls" TargetMode="External"/></Relationships>
</file>

<file path=xl/externalLinks/_rels/externalLink3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sep%2019.xls" TargetMode="External"/></Relationships>
</file>

<file path=xl/externalLinks/_rels/externalLink3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oct%2019.xls" TargetMode="External"/></Relationships>
</file>

<file path=xl/externalLinks/_rels/externalLink3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nov%2019.xls" TargetMode="External"/></Relationships>
</file>

<file path=xl/externalLinks/_rels/externalLink3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Dec%2019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Jan%202021.xlsx" TargetMode="External"/></Relationships>
</file>

<file path=xl/externalLinks/_rels/externalLink3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Jan%2020.xls" TargetMode="External"/></Relationships>
</file>

<file path=xl/externalLinks/_rels/externalLink3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Feb%2020.xls" TargetMode="External"/></Relationships>
</file>

<file path=xl/externalLinks/_rels/externalLink3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mar%2020.xls" TargetMode="External"/></Relationships>
</file>

<file path=xl/externalLinks/_rels/externalLink3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0\Monthly%20Servicer%20Report%2014th%20Trust%20-%20Mar%202020.xlsx" TargetMode="External"/></Relationships>
</file>

<file path=xl/externalLinks/_rels/externalLink3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abr%2020.xls" TargetMode="External"/></Relationships>
</file>

<file path=xl/externalLinks/_rels/externalLink3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0\Monthly%20Servicer%20Report%2014th%20Trust%20-%20abr%202020.xlsx" TargetMode="External"/></Relationships>
</file>

<file path=xl/externalLinks/_rels/externalLink3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may%2020.xls" TargetMode="External"/></Relationships>
</file>

<file path=xl/externalLinks/_rels/externalLink3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0\Monthly%20Servicer%20Report%2014th%20Trust%20-%20may%202020.xlsx" TargetMode="External"/></Relationships>
</file>

<file path=xl/externalLinks/_rels/externalLink3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jun%2020.xls" TargetMode="External"/></Relationships>
</file>

<file path=xl/externalLinks/_rels/externalLink3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0\Monthly%20Servicer%20Report%2014th%20Trust%20-%20Jun%202020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feb%202021.xls" TargetMode="External"/></Relationships>
</file>

<file path=xl/externalLinks/_rels/externalLink3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jul%2020.xls" TargetMode="External"/></Relationships>
</file>

<file path=xl/externalLinks/_rels/externalLink3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0\Monthly%20Servicer%20Report%2014th%20Trust%20-%20Jul%202020.xlsx" TargetMode="External"/></Relationships>
</file>

<file path=xl/externalLinks/_rels/externalLink3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aug%2020.xls" TargetMode="External"/></Relationships>
</file>

<file path=xl/externalLinks/_rels/externalLink3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0\Monthly%20Servicer%20Report%2014th%20Trust%20-%20aug%202020.xlsx" TargetMode="External"/></Relationships>
</file>

<file path=xl/externalLinks/_rels/externalLink3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sep%2020.xls" TargetMode="External"/></Relationships>
</file>

<file path=xl/externalLinks/_rels/externalLink3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0\Monthly%20Servicer%20Report%2014th%20Trust%20-%20sep%202020.xlsx" TargetMode="External"/></Relationships>
</file>

<file path=xl/externalLinks/_rels/externalLink3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oct%2020.xls" TargetMode="External"/></Relationships>
</file>

<file path=xl/externalLinks/_rels/externalLink3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0\Monthly%20Servicer%20Report%2014th%20Trust%20-%20oct%202020.xlsx" TargetMode="External"/></Relationships>
</file>

<file path=xl/externalLinks/_rels/externalLink3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nov%2020.xls" TargetMode="External"/></Relationships>
</file>

<file path=xl/externalLinks/_rels/externalLink3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0\Monthly%20Servicer%20Report%2014th%20Trust%20-%20nov%202020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feb%202021.xls" TargetMode="External"/></Relationships>
</file>

<file path=xl/externalLinks/_rels/externalLink3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dec%2020.xls" TargetMode="External"/></Relationships>
</file>

<file path=xl/externalLinks/_rels/externalLink3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0\Monthly%20Servicer%20Report%2014th%20Trust%20-%20dec%202020.xlsx" TargetMode="External"/></Relationships>
</file>

<file path=xl/externalLinks/_rels/externalLink3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janc%2021.xls" TargetMode="External"/></Relationships>
</file>

<file path=xl/externalLinks/_rels/externalLink3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jan%2021.xls" TargetMode="External"/></Relationships>
</file>

<file path=xl/externalLinks/_rels/externalLink3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1\Monthly%20Servicer%20Report%2014th%20Trust%20-%20Jan%202021.xlsx" TargetMode="External"/></Relationships>
</file>

<file path=xl/externalLinks/_rels/externalLink3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feb%2021.xls" TargetMode="External"/></Relationships>
</file>

<file path=xl/externalLinks/_rels/externalLink3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feb%2021.xls" TargetMode="External"/></Relationships>
</file>

<file path=xl/externalLinks/_rels/externalLink3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1\Monthly%20Servicer%20Report%2014th%20Trust%20-%20Feb%202021.xlsx" TargetMode="External"/></Relationships>
</file>

<file path=xl/externalLinks/_rels/externalLink3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mar%2021.xls" TargetMode="External"/></Relationships>
</file>

<file path=xl/externalLinks/_rels/externalLink3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mar%202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Feb%202021.xlsx" TargetMode="External"/></Relationships>
</file>

<file path=xl/externalLinks/_rels/externalLink3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1\Monthly%20Servicer%20Report%2014th%20Trust%20-%20Mar%202021.xlsx" TargetMode="External"/></Relationships>
</file>

<file path=xl/externalLinks/_rels/externalLink3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abr%2021.xls" TargetMode="External"/></Relationships>
</file>

<file path=xl/externalLinks/_rels/externalLink3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abr%2021.xls" TargetMode="External"/></Relationships>
</file>

<file path=xl/externalLinks/_rels/externalLink3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1\Monthly%20Servicer%20Report%2014th%20Trust%20-%20Abr%202021.xlsx" TargetMode="External"/></Relationships>
</file>

<file path=xl/externalLinks/_rels/externalLink3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may%2021.xls" TargetMode="External"/></Relationships>
</file>

<file path=xl/externalLinks/_rels/externalLink3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may%2021.xls" TargetMode="External"/></Relationships>
</file>

<file path=xl/externalLinks/_rels/externalLink3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1\Monthly%20Servicer%20Report%2014th%20Trust%20-%20May%202021.xlsx" TargetMode="External"/></Relationships>
</file>

<file path=xl/externalLinks/_rels/externalLink3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jun%2021.xls" TargetMode="External"/></Relationships>
</file>

<file path=xl/externalLinks/_rels/externalLink3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jun%2021.xls" TargetMode="External"/></Relationships>
</file>

<file path=xl/externalLinks/_rels/externalLink3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1\Monthly%20Servicer%20Report%2014th%20Trust%20-%20Jun%202021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mar%202021.xls" TargetMode="External"/></Relationships>
</file>

<file path=xl/externalLinks/_rels/externalLink3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jul%2021.xls" TargetMode="External"/></Relationships>
</file>

<file path=xl/externalLinks/_rels/externalLink3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jul%2021.xls" TargetMode="External"/></Relationships>
</file>

<file path=xl/externalLinks/_rels/externalLink3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1\Monthly%20Servicer%20Report%2014th%20Trust%20-%20Jul%202021.xlsx" TargetMode="External"/></Relationships>
</file>

<file path=xl/externalLinks/_rels/externalLink3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ago%2021.xls" TargetMode="External"/></Relationships>
</file>

<file path=xl/externalLinks/_rels/externalLink3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ago%2021.xls" TargetMode="External"/></Relationships>
</file>

<file path=xl/externalLinks/_rels/externalLink3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1\Monthly%20Servicer%20Report%2014th%20Trust%20-%20Ago%202021.xlsx" TargetMode="External"/></Relationships>
</file>

<file path=xl/externalLinks/_rels/externalLink3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sep%2021.xls" TargetMode="External"/></Relationships>
</file>

<file path=xl/externalLinks/_rels/externalLink3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sep%2021.xls" TargetMode="External"/></Relationships>
</file>

<file path=xl/externalLinks/_rels/externalLink3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1\Monthly%20Servicer%20Report%2014th%20Trust%20-%20Sep%202021.xlsx" TargetMode="External"/></Relationships>
</file>

<file path=xl/externalLinks/_rels/externalLink3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oct%202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mar%202021.xls" TargetMode="External"/></Relationships>
</file>

<file path=xl/externalLinks/_rels/externalLink3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oct%2021.xls" TargetMode="External"/></Relationships>
</file>

<file path=xl/externalLinks/_rels/externalLink3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1\Monthly%20Servicer%20Report%2014th%20Trust%20-%20Oct%202021.xlsx" TargetMode="External"/></Relationships>
</file>

<file path=xl/externalLinks/_rels/externalLink3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nov%2021.xls" TargetMode="External"/></Relationships>
</file>

<file path=xl/externalLinks/_rels/externalLink3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nov%2021.xls" TargetMode="External"/></Relationships>
</file>

<file path=xl/externalLinks/_rels/externalLink3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1\Monthly%20Servicer%20Report%2014th%20Trust%20-%20nov%202021.xlsx" TargetMode="External"/></Relationships>
</file>

<file path=xl/externalLinks/_rels/externalLink3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dic%2021.xls" TargetMode="External"/></Relationships>
</file>

<file path=xl/externalLinks/_rels/externalLink3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dic%2021.xls" TargetMode="External"/></Relationships>
</file>

<file path=xl/externalLinks/_rels/externalLink3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1\Monthly%20Servicer%20Report%2014th%20Trust%20-%20dic%202021.xlsx" TargetMode="External"/></Relationships>
</file>

<file path=xl/externalLinks/_rels/externalLink3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.5\panama\Finanzas\Fideicomisos\14to%20Fideicomiso\Monthly%20Servicer%20Report%2014th%20Trust\2022\Monthly%20Servicer%20Report%2014th%20Trust%20-%20Ene%202022.xlsx" TargetMode="External"/></Relationships>
</file>

<file path=xl/externalLinks/_rels/externalLink3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.5\panama\Finanzas\Fideicomisos\14to%20Fideicomiso\Monthly%20Servicer%20Report%2014th%20Trust\2022\Monthly%20Servicer%20Report%2014th%20Trust%20-%20feb%202022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Mar%202021.xlsx" TargetMode="External"/></Relationships>
</file>

<file path=xl/externalLinks/_rels/externalLink3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.5\panama\Finanzas\Fideicomisos\14to%20Fideicomiso\Monthly%20Servicer%20Report%2014th%20Trust\2022\Monthly%20Servicer%20Report%2014th%20Trust%20-%20mar%202022.xlsx" TargetMode="External"/></Relationships>
</file>

<file path=xl/externalLinks/_rels/externalLink3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Abr%202022\Monthly%20Servicer%20Report%2014th%20Trust%20-%20Abr%202022.xlsx" TargetMode="External"/></Relationships>
</file>

<file path=xl/externalLinks/_rels/externalLink3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May%202022\Monthly%20Servicer%20Report%2014th%20Trust%20-%20May%202022.xlsx" TargetMode="External"/></Relationships>
</file>

<file path=xl/externalLinks/_rels/externalLink3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jun%202022\Monthly%20Servicer%20Report%2014th%20Trust%20-%20jun%202022.xlsx" TargetMode="External"/></Relationships>
</file>

<file path=xl/externalLinks/_rels/externalLink3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jul%202022\Monthly%20Servicer%20Report%2014th%20Trust%20-%20jul%202022.xlsx" TargetMode="External"/></Relationships>
</file>

<file path=xl/externalLinks/_rels/externalLink3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ago%202022\Monthly%20Servicer%20Report%2014th%20Trust%20-%20ago%202022.xlsx" TargetMode="External"/></Relationships>
</file>

<file path=xl/externalLinks/_rels/externalLink3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sep%202022\Monthly%20Servicer%20Report%2014th%20Trust%20-%20sep%202022.xlsx" TargetMode="External"/></Relationships>
</file>

<file path=xl/externalLinks/_rels/externalLink3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19\Monthly%20Servicer%20Report%2015th%20Trust%20-%20May%202019.xls" TargetMode="External"/></Relationships>
</file>

<file path=xl/externalLinks/_rels/externalLink3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19\Monthly%20Servicer%20Report%2015th%20Trust%20-%20jun%202019.xls" TargetMode="External"/></Relationships>
</file>

<file path=xl/externalLinks/_rels/externalLink3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19\Monthly%20Servicer%20Report%2015th%20Trust%20-%20Jul%20201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19\Monthly%20Servicer%20Report%2012th%20Trust%20-%20aug%202019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abr%202021.xls" TargetMode="External"/></Relationships>
</file>

<file path=xl/externalLinks/_rels/externalLink4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19\Monthly%20Servicer%20Report%2015th%20Trust%20-%20Aug%202019.xls" TargetMode="External"/></Relationships>
</file>

<file path=xl/externalLinks/_rels/externalLink4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19\Monthly%20Servicer%20Report%2015th%20Trust%20-%20sep%202019.xls" TargetMode="External"/></Relationships>
</file>

<file path=xl/externalLinks/_rels/externalLink4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19\Monthly%20Servicer%20Report%2015th%20Trust%20-%20oct%202019.xls" TargetMode="External"/></Relationships>
</file>

<file path=xl/externalLinks/_rels/externalLink4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19\Monthly%20Servicer%20Report%2015th%20Trust%20-%20nov%202019.xls" TargetMode="External"/></Relationships>
</file>

<file path=xl/externalLinks/_rels/externalLink4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19\Monthly%20Servicer%20Report%2015th%20Trust%20-%20Dec%202019.xls" TargetMode="External"/></Relationships>
</file>

<file path=xl/externalLinks/_rels/externalLink4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19\Monthly%20Servicer%20Report%2015th%20Trust%20-%20Jan%202020.xls" TargetMode="External"/></Relationships>
</file>

<file path=xl/externalLinks/_rels/externalLink4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19\Monthly%20Servicer%20Report%2015th%20Trust%20-%20Feb%202020.xls" TargetMode="External"/></Relationships>
</file>

<file path=xl/externalLinks/_rels/externalLink4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0\Monthly%20Servicer%20Report%2015th%20Trust%20-%20mar%202020.xls" TargetMode="External"/></Relationships>
</file>

<file path=xl/externalLinks/_rels/externalLink4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0\Monthly%20Servicer%20Report%2015th%20Trust%20-%20abr%202020.xls" TargetMode="External"/></Relationships>
</file>

<file path=xl/externalLinks/_rels/externalLink4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0\Monthly%20Servicer%20Report%2015th%20Trust%20-%20may%20202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Abr%202021.xlsx" TargetMode="External"/></Relationships>
</file>

<file path=xl/externalLinks/_rels/externalLink4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0\Monthly%20Servicer%20Report%2015th%20Trust%20-%20jun%202020.xls" TargetMode="External"/></Relationships>
</file>

<file path=xl/externalLinks/_rels/externalLink4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0\Monthly%20Servicer%20Report%2015th%20Trust%20-%20jul%202020.xls" TargetMode="External"/></Relationships>
</file>

<file path=xl/externalLinks/_rels/externalLink4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0\Monthly%20Servicer%20Report%2015th%20Trust%20-%20aug%202020.xls" TargetMode="External"/></Relationships>
</file>

<file path=xl/externalLinks/_rels/externalLink4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0\Monthly%20Servicer%20Report%2015th%20Trust%20-%20ago%202020.xls" TargetMode="External"/></Relationships>
</file>

<file path=xl/externalLinks/_rels/externalLink4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0\Monthly%20Servicer%20Report%2015th%20Trust%20-%20sep%202020.xls" TargetMode="External"/></Relationships>
</file>

<file path=xl/externalLinks/_rels/externalLink4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0\Monthly%20Servicer%20Report%2015th%20Trust%20-%20oct%202020.xls" TargetMode="External"/></Relationships>
</file>

<file path=xl/externalLinks/_rels/externalLink4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0\Monthly%20Servicer%20Report%2015th%20Trust%20-%20nov%202020.xls" TargetMode="External"/></Relationships>
</file>

<file path=xl/externalLinks/_rels/externalLink4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0\Monthly%20Servicer%20Report%2015th%20Trust%20-%20dec%202020.xls" TargetMode="External"/></Relationships>
</file>

<file path=xl/externalLinks/_rels/externalLink4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0\Monthly%20Servicer%20Report%2015th%20Trust%20-%20jan%202021.xls" TargetMode="External"/></Relationships>
</file>

<file path=xl/externalLinks/_rels/externalLink4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0\Monthly%20Servicer%20Report%2015th%20Trust%20-%20feb%20202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may%202021.xls" TargetMode="External"/></Relationships>
</file>

<file path=xl/externalLinks/_rels/externalLink4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0\Monthly%20Servicer%20Report%2015th%20Trust%20-%20mar%202021.xls" TargetMode="External"/></Relationships>
</file>

<file path=xl/externalLinks/_rels/externalLink4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1\Monthly%20Servicer%20Report%2015th%20Trust%20-%20mar%202021.xls" TargetMode="External"/></Relationships>
</file>

<file path=xl/externalLinks/_rels/externalLink4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1\Monthly%20Servicer%20Report%2015th%20Trust%20-%20abr%202021.xls" TargetMode="External"/></Relationships>
</file>

<file path=xl/externalLinks/_rels/externalLink4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1\Monthly%20Servicer%20Report%2015th%20Trust%20-%20may%202021.xls" TargetMode="External"/></Relationships>
</file>

<file path=xl/externalLinks/_rels/externalLink4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1\Monthly%20Servicer%20Report%2015th%20Trust%20-%20jun%202021.xls" TargetMode="External"/></Relationships>
</file>

<file path=xl/externalLinks/_rels/externalLink4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1\Monthly%20Servicer%20Report%2015th%20Trust%20-%20jul%202021.xls" TargetMode="External"/></Relationships>
</file>

<file path=xl/externalLinks/_rels/externalLink4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1\Monthly%20Servicer%20Report%2015th%20Trust%20-%20ago%202021.xls" TargetMode="External"/></Relationships>
</file>

<file path=xl/externalLinks/_rels/externalLink4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1\Monthly%20Servicer%20Report%2015th%20Trust%20-%20sep%202021.xls" TargetMode="External"/></Relationships>
</file>

<file path=xl/externalLinks/_rels/externalLink4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1\Monthly%20Servicer%20Report%2015th%20Trust%20-%20oct%202021.xls" TargetMode="External"/></Relationships>
</file>

<file path=xl/externalLinks/_rels/externalLink4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1\Monthly%20Servicer%20Report%2015th%20Trust%20-%20nov%20202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May%202021.xlsx" TargetMode="External"/></Relationships>
</file>

<file path=xl/externalLinks/_rels/externalLink4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1\Monthly%20Servicer%20Report%2015th%20Trust%20-%20dic%202021.xls" TargetMode="External"/></Relationships>
</file>

<file path=xl/externalLinks/_rels/externalLink4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.5\panama\Finanzas\Fideicomisos\15to%20Fideicomiso\Monthly%20Servicer%20Report%2015th%20Trust\2022\Monthly%20Servicer%20Report%2015th%20Trust%20-%20Ene%202022.xlsx" TargetMode="External"/></Relationships>
</file>

<file path=xl/externalLinks/_rels/externalLink4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.5\panama\Finanzas\Fideicomisos\15to%20Fideicomiso\Monthly%20Servicer%20Report%2015th%20Trust\2022\Monthly%20Servicer%20Report%2015th%20Trust%20-%20feb%202022.xlsx" TargetMode="External"/></Relationships>
</file>

<file path=xl/externalLinks/_rels/externalLink4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.5\panama\Finanzas\Fideicomisos\15to%20Fideicomiso\Monthly%20Servicer%20Report%2015th%20Trust\2022\Monthly%20Servicer%20Report%2015th%20Trust%20-%20mar%202022.xlsx" TargetMode="External"/></Relationships>
</file>

<file path=xl/externalLinks/_rels/externalLink4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Abr%202022\Monthly%20Servicer%20Report%2015th%20Trust%20-%20Abr%202022.xlsx" TargetMode="External"/></Relationships>
</file>

<file path=xl/externalLinks/_rels/externalLink4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May%202022\Monthly%20Servicer%20Report%2015th%20Trust%20-%20May%202022.xlsx" TargetMode="External"/></Relationships>
</file>

<file path=xl/externalLinks/_rels/externalLink4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jun%202022\Monthly%20Servicer%20Report%2015th%20Trust%20-%20jun%202022.xlsx" TargetMode="External"/></Relationships>
</file>

<file path=xl/externalLinks/_rels/externalLink4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jul%202022\Monthly%20Servicer%20Report%2015th%20Trust%20-%20jul%202022.xlsx" TargetMode="External"/></Relationships>
</file>

<file path=xl/externalLinks/_rels/externalLink4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ago%202022\Monthly%20Servicer%20Report%2015th%20Trust%20-%20ago%202022.xlsx" TargetMode="External"/></Relationships>
</file>

<file path=xl/externalLinks/_rels/externalLink4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sep%202022\Monthly%20Servicer%20Report%2015th%20Trust%20-%20sep%202022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jun%202021.xls" TargetMode="External"/></Relationships>
</file>

<file path=xl/externalLinks/_rels/externalLink44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pimentel\AppData\Roaming\Microsoft\Excel\Funds%20Application%20Report-15th%20Mortgage%20Trust-Final%20(version%201).xlsb" TargetMode="External"/><Relationship Id="rId1" Type="http://schemas.openxmlformats.org/officeDocument/2006/relationships/externalLinkPath" Target="file:///C:\Users\epimentel\AppData\Roaming\Microsoft\Excel\Funds%20Application%20Report-15th%20Mortgage%20Trust-Final%20(version%201).xlsb" TargetMode="External"/></Relationships>
</file>

<file path=xl/externalLinks/_rels/externalLink4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6to%20Fideicomiso\Monthly%20Servicer%20Report%2016th%20Trust\Monthly%20Servicer%20Report%2016th%20Trust%20-%20Dic%202021.xlsx" TargetMode="External"/></Relationships>
</file>

<file path=xl/externalLinks/_rels/externalLink4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.5\panama\Finanzas\Fideicomisos\16to%20Fideicomiso\Monthly%20Servicer%20Report%2016th%20Trust\2022\Monthly%20Servicer%20Report%2016th%20Trust%20-%20Ene%202022.xlsx" TargetMode="External"/></Relationships>
</file>

<file path=xl/externalLinks/_rels/externalLink4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.5\panama\Finanzas\Fideicomisos\16to%20Fideicomiso\Monthly%20Servicer%20Report%2016th%20Trust\2022\Monthly%20Servicer%20Report%2016th%20Trust%20-%20feb%202022.xlsx" TargetMode="External"/></Relationships>
</file>

<file path=xl/externalLinks/_rels/externalLink4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.5\panama\Finanzas\Fideicomisos\16to%20Fideicomiso\Monthly%20Servicer%20Report%2016th%20Trust\2022\Monthly%20Servicer%20Report%2016th%20Trust%20-%20mar%202022.xlsx" TargetMode="External"/></Relationships>
</file>

<file path=xl/externalLinks/_rels/externalLink4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Abr%202022\Monthly%20Servicer%20Report%2016th%20Trust%20-%20Abr%202022.xlsx" TargetMode="External"/></Relationships>
</file>

<file path=xl/externalLinks/_rels/externalLink4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may%202022\Monthly%20Servicer%20Report%2016th%20Trust%20-%20may%202022.xlsx" TargetMode="External"/></Relationships>
</file>

<file path=xl/externalLinks/_rels/externalLink4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Jun%202022\Monthly%20Servicer%20Report%2016th%20Trust%20-%20Jun%202022.xlsx" TargetMode="External"/></Relationships>
</file>

<file path=xl/externalLinks/_rels/externalLink4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jul%202022\Monthly%20Servicer%20Report%2016th%20Trust%20-%20jul%202022.xlsx" TargetMode="External"/></Relationships>
</file>

<file path=xl/externalLinks/_rels/externalLink4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ago%202022\Monthly%20Servicer%20Report%2016th%20Trust%20-%20ago%202022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Jun%202021.xlsx" TargetMode="External"/></Relationships>
</file>

<file path=xl/externalLinks/_rels/externalLink4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sep%202022\Monthly%20Servicer%20Report%2016th%20Trust%20-%20sep%202022.xlsx" TargetMode="External"/></Relationships>
</file>

<file path=xl/externalLinks/_rels/externalLink45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pimentel\AppData\Roaming\Microsoft\Excel\Funds%20Application%20Report-16th%20Mortgage%20Trust-Final%20(version%202).xlsb" TargetMode="External"/><Relationship Id="rId1" Type="http://schemas.openxmlformats.org/officeDocument/2006/relationships/externalLinkPath" Target="file:///C:\Users\epimentel\AppData\Roaming\Microsoft\Excel\Funds%20Application%20Report-16th%20Mortgage%20Trust-Final%20(version%202).xlsb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jul%20202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Jul%202021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ago%20202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Ago%20202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19\Monthly%20Servicer%20Report%2012th%20Trust%20-%20sep%20201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sep%202021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Sep%202021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oct%202021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oct%202021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nov%20202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nov%202021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dic%202021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dic%202021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.5\panama\Finanzas\Fideicomisos\12do%20Fideicomiso\Monthly%20Servicer%20Report%2012th%20Trust\2022\Monthly%20Servicer%20Report%2012th%20Trust%20-%20Ene%202022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.5\panama\Finanzas\Fideicomisos\12do%20Fideicomiso\Monthly%20Servicer%20Report%2012th%20Trust\2022\Monthly%20Servicer%20Report%2012th%20Trust%20-%20feb%20202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19\Monthly%20Servicer%20Report%2012th%20Trust%20-%20oct%202019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.5\panama\Finanzas\Fideicomisos\12do%20Fideicomiso\Monthly%20Servicer%20Report%2012th%20Trust\2022\Monthly%20Servicer%20Report%2012th%20Trust%20-%20mar%202022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Abr%202022\Monthly%20Servicer%20Report%2012th%20Trust%20-%20Abr%202022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May%202022\Monthly%20Servicer%20Report%2012th%20Trust%20-%20May%202022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Jun%202022\Monthly%20Servicer%20Report%2012th%20Trust%20-%20Jun%202022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jul%202022\Monthly%20Servicer%20Report%2012th%20Trust%20-%20jul%202022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ago%202022\Monthly%20Servicer%20Report%2012th%20Trust%20-%20ago%202022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sep%202022\Monthly%20Servicer%20Report%2012th%20Trust%20-%20sep%202022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Funds%20Application%20Report%208th%20Mortgage%20Trust\Funds%20Application%20Report-8th%20Mortgage%20Trust-Final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May%202019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jun%20201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19\Monthly%20Servicer%20Report%2012th%20Trust%20-%20nov%202019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jul%202019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aug%202019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sep%202019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oct%202019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Nov%202019.xlsx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Funds%20Application%20Report%208th%20Mortgage%20Trust\Funds%20Application%20Report-8th%20Mortgage%20Trust-Final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Dec%202019.xlsx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Jan%202020.xlsx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Jan%202020.xlsx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Feb%20202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19\Monthly%20Servicer%20Report%2012th%20Trust%20-%20dec%202019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Feb%202020.xlsx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Feb%202020.xlsx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mar%202020.xlsx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mar%202020.xlsx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Mar%202020.xlsx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abr%202020.xlsx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abr%202020.xlsx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abr%202020.xlsx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may%202020.xlsx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may%20202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19\Monthly%20Servicer%20Report%2012th%20Trust%20-%20Jan%202020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may%202020.xlsx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jun%202020.xlsx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jun%202020.xlsx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Jun%202020.xlsx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jul%202020.xlsx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jul%202020.xlsx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Jul%202020.xlsx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ago%202020.xlsx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ago%202020.xlsx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ag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2137</v>
          </cell>
        </row>
        <row r="22">
          <cell r="C22">
            <v>48575098.509999998</v>
          </cell>
        </row>
      </sheetData>
      <sheetData sheetId="1">
        <row r="49">
          <cell r="C49">
            <v>282309.92</v>
          </cell>
        </row>
      </sheetData>
      <sheetData sheetId="2">
        <row r="46">
          <cell r="C46">
            <v>0</v>
          </cell>
        </row>
      </sheetData>
      <sheetData sheetId="3">
        <row r="4">
          <cell r="C4">
            <v>47277994.390000001</v>
          </cell>
          <cell r="E4">
            <v>806013</v>
          </cell>
          <cell r="F4">
            <v>131946.14000000001</v>
          </cell>
          <cell r="G4">
            <v>87649.59</v>
          </cell>
          <cell r="H4">
            <v>32225.41</v>
          </cell>
          <cell r="J4">
            <v>0</v>
          </cell>
        </row>
      </sheetData>
      <sheetData sheetId="4">
        <row r="8">
          <cell r="V8">
            <v>40568032.770000011</v>
          </cell>
        </row>
        <row r="9">
          <cell r="V9">
            <v>6000000</v>
          </cell>
        </row>
        <row r="10">
          <cell r="V10">
            <v>750000</v>
          </cell>
        </row>
        <row r="87">
          <cell r="L87">
            <v>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2056</v>
          </cell>
        </row>
        <row r="22">
          <cell r="C22">
            <v>45230080</v>
          </cell>
        </row>
      </sheetData>
      <sheetData sheetId="1">
        <row r="49">
          <cell r="C49">
            <v>162836.04</v>
          </cell>
        </row>
      </sheetData>
      <sheetData sheetId="2">
        <row r="46">
          <cell r="C46">
            <v>0</v>
          </cell>
        </row>
      </sheetData>
      <sheetData sheetId="3">
        <row r="4">
          <cell r="C4">
            <v>43379009.450000003</v>
          </cell>
          <cell r="E4">
            <v>1025708.55</v>
          </cell>
          <cell r="F4">
            <v>385355.82</v>
          </cell>
          <cell r="G4">
            <v>105045.94</v>
          </cell>
          <cell r="H4">
            <v>121653.69</v>
          </cell>
          <cell r="J4">
            <v>9984.1</v>
          </cell>
        </row>
      </sheetData>
      <sheetData sheetId="4">
        <row r="8">
          <cell r="V8">
            <v>36471824.809000015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  <sheetName val="8th Trust (2007-1)"/>
      <sheetName val="10th Trust (2010-1)"/>
    </sheetNames>
    <sheetDataSet>
      <sheetData sheetId="0">
        <row r="20">
          <cell r="C20">
            <v>1769</v>
          </cell>
        </row>
        <row r="24">
          <cell r="C24">
            <v>28119859.530000001</v>
          </cell>
        </row>
      </sheetData>
      <sheetData sheetId="1">
        <row r="51">
          <cell r="C51">
            <v>33050.75</v>
          </cell>
        </row>
      </sheetData>
      <sheetData sheetId="2">
        <row r="46">
          <cell r="C46">
            <v>162858.12</v>
          </cell>
        </row>
      </sheetData>
      <sheetData sheetId="3">
        <row r="4">
          <cell r="C4">
            <v>26120977.359999999</v>
          </cell>
          <cell r="E4">
            <v>1126286.3799999999</v>
          </cell>
          <cell r="F4">
            <v>443701.08</v>
          </cell>
          <cell r="G4">
            <v>110147.42</v>
          </cell>
          <cell r="H4">
            <v>68930.039999999994</v>
          </cell>
          <cell r="J4">
            <v>79838.850000000006</v>
          </cell>
        </row>
      </sheetData>
      <sheetData sheetId="4">
        <row r="8">
          <cell r="V8">
            <v>12369683.730000006</v>
          </cell>
        </row>
      </sheetData>
      <sheetData sheetId="5"/>
      <sheetData sheetId="6" refreshError="1"/>
      <sheetData sheetId="7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/>
      <sheetData sheetId="1" refreshError="1">
        <row r="49">
          <cell r="C49">
            <v>1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19">
          <cell r="C19">
            <v>0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1772</v>
          </cell>
        </row>
        <row r="24">
          <cell r="C24">
            <v>28293003.039999999</v>
          </cell>
        </row>
      </sheetData>
      <sheetData sheetId="1">
        <row r="51">
          <cell r="C51">
            <v>83227.259999999995</v>
          </cell>
        </row>
      </sheetData>
      <sheetData sheetId="2">
        <row r="46">
          <cell r="C46">
            <v>176574.78</v>
          </cell>
        </row>
      </sheetData>
      <sheetData sheetId="3">
        <row r="4">
          <cell r="C4">
            <v>26383622.479999997</v>
          </cell>
          <cell r="E4">
            <v>1199192.3</v>
          </cell>
          <cell r="F4">
            <v>283055.02</v>
          </cell>
          <cell r="G4">
            <v>144745.20000000001</v>
          </cell>
          <cell r="H4">
            <v>92284.95</v>
          </cell>
          <cell r="J4">
            <v>0</v>
          </cell>
        </row>
      </sheetData>
      <sheetData sheetId="4">
        <row r="8">
          <cell r="V8">
            <v>12551886.010000005</v>
          </cell>
        </row>
      </sheetData>
      <sheetData sheetId="5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49">
          <cell r="C49">
            <v>7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19">
          <cell r="C19">
            <v>29438.29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>
        <row r="20">
          <cell r="C20">
            <v>1769</v>
          </cell>
        </row>
        <row r="24">
          <cell r="C24">
            <v>28119859.530000001</v>
          </cell>
        </row>
      </sheetData>
      <sheetData sheetId="1" refreshError="1">
        <row r="51">
          <cell r="C51">
            <v>33050.75</v>
          </cell>
        </row>
      </sheetData>
      <sheetData sheetId="2" refreshError="1">
        <row r="46">
          <cell r="C46">
            <v>162858.12</v>
          </cell>
        </row>
      </sheetData>
      <sheetData sheetId="3" refreshError="1">
        <row r="4">
          <cell r="C4">
            <v>26120977.359999999</v>
          </cell>
          <cell r="E4">
            <v>1126286.3799999999</v>
          </cell>
          <cell r="F4">
            <v>443701.08</v>
          </cell>
          <cell r="G4">
            <v>110147.42</v>
          </cell>
          <cell r="H4">
            <v>68930.039999999994</v>
          </cell>
          <cell r="J4">
            <v>79838.850000000006</v>
          </cell>
        </row>
      </sheetData>
      <sheetData sheetId="4" refreshError="1">
        <row r="8">
          <cell r="V8">
            <v>12369683.730000006</v>
          </cell>
        </row>
      </sheetData>
      <sheetData sheetId="5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49">
          <cell r="C49">
            <v>3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19">
          <cell r="C19">
            <v>0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>
        <row r="20">
          <cell r="C20">
            <v>1761</v>
          </cell>
        </row>
        <row r="24">
          <cell r="C24">
            <v>27918843.920000002</v>
          </cell>
        </row>
      </sheetData>
      <sheetData sheetId="1" refreshError="1">
        <row r="51">
          <cell r="C51">
            <v>109812.37</v>
          </cell>
        </row>
      </sheetData>
      <sheetData sheetId="2" refreshError="1">
        <row r="46">
          <cell r="C46">
            <v>144962.40000000002</v>
          </cell>
        </row>
      </sheetData>
      <sheetData sheetId="3" refreshError="1">
        <row r="4">
          <cell r="C4">
            <v>25509340.379999999</v>
          </cell>
          <cell r="E4">
            <v>1421399.56</v>
          </cell>
          <cell r="F4">
            <v>513095.69</v>
          </cell>
          <cell r="G4">
            <v>124481.29</v>
          </cell>
          <cell r="H4">
            <v>86098.5</v>
          </cell>
          <cell r="J4">
            <v>34554.53</v>
          </cell>
        </row>
      </sheetData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2046</v>
          </cell>
        </row>
        <row r="22">
          <cell r="C22">
            <v>44882967.280000001</v>
          </cell>
        </row>
      </sheetData>
      <sheetData sheetId="1">
        <row r="49">
          <cell r="C49">
            <v>174998.61</v>
          </cell>
        </row>
      </sheetData>
      <sheetData sheetId="2">
        <row r="46">
          <cell r="C46">
            <v>0</v>
          </cell>
        </row>
      </sheetData>
      <sheetData sheetId="3">
        <row r="4">
          <cell r="C4">
            <v>42797554.850000001</v>
          </cell>
          <cell r="E4">
            <v>1068871.58</v>
          </cell>
          <cell r="F4">
            <v>539616.32999999996</v>
          </cell>
          <cell r="G4">
            <v>72418.78</v>
          </cell>
          <cell r="H4">
            <v>126620.62</v>
          </cell>
          <cell r="J4">
            <v>64578.57</v>
          </cell>
        </row>
      </sheetData>
      <sheetData sheetId="4">
        <row r="8">
          <cell r="V8">
            <v>36174858.059000015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  <sheetName val="Hoja1"/>
    </sheetNames>
    <sheetDataSet>
      <sheetData sheetId="0"/>
      <sheetData sheetId="1">
        <row r="49">
          <cell r="C49">
            <v>8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  <sheetName val="Hoja1"/>
    </sheetNames>
    <sheetDataSet>
      <sheetData sheetId="0"/>
      <sheetData sheetId="1">
        <row r="19">
          <cell r="C19">
            <v>30993.91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8">
          <cell r="V8">
            <v>12132390.900000006</v>
          </cell>
        </row>
      </sheetData>
      <sheetData sheetId="5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>
        <row r="20">
          <cell r="C20">
            <v>1754</v>
          </cell>
        </row>
        <row r="24">
          <cell r="C24">
            <v>27706690.600000001</v>
          </cell>
        </row>
      </sheetData>
      <sheetData sheetId="1" refreshError="1">
        <row r="51">
          <cell r="C51">
            <v>46723.85</v>
          </cell>
        </row>
      </sheetData>
      <sheetData sheetId="2" refreshError="1">
        <row r="46">
          <cell r="C46">
            <v>162493.16999999998</v>
          </cell>
        </row>
      </sheetData>
      <sheetData sheetId="3" refreshError="1">
        <row r="4">
          <cell r="C4">
            <v>25405371.469999999</v>
          </cell>
          <cell r="E4">
            <v>1343331.4</v>
          </cell>
          <cell r="F4">
            <v>522557.62</v>
          </cell>
          <cell r="G4">
            <v>75793.95</v>
          </cell>
          <cell r="H4">
            <v>94860.44</v>
          </cell>
          <cell r="J4">
            <v>20290.5</v>
          </cell>
        </row>
      </sheetData>
      <sheetData sheetId="4" refreshError="1">
        <row r="8">
          <cell r="V8">
            <v>11889463.930000005</v>
          </cell>
        </row>
      </sheetData>
      <sheetData sheetId="5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/>
      <sheetData sheetId="1" refreshError="1">
        <row r="49">
          <cell r="C49">
            <v>7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/>
      <sheetData sheetId="1" refreshError="1">
        <row r="19">
          <cell r="C19">
            <v>14611.25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>
        <row r="20">
          <cell r="C20">
            <v>1746</v>
          </cell>
        </row>
        <row r="24">
          <cell r="C24">
            <v>27516906.09</v>
          </cell>
        </row>
      </sheetData>
      <sheetData sheetId="1" refreshError="1">
        <row r="51">
          <cell r="C51">
            <v>63745.4</v>
          </cell>
        </row>
      </sheetData>
      <sheetData sheetId="2" refreshError="1">
        <row r="46">
          <cell r="C46">
            <v>144310.86000000002</v>
          </cell>
        </row>
      </sheetData>
      <sheetData sheetId="3" refreshError="1">
        <row r="4">
          <cell r="C4">
            <v>25211362.119999997</v>
          </cell>
          <cell r="E4">
            <v>1205399.1000000001</v>
          </cell>
          <cell r="F4">
            <v>582879.09</v>
          </cell>
          <cell r="G4">
            <v>162544.74</v>
          </cell>
          <cell r="H4">
            <v>78543.41</v>
          </cell>
          <cell r="J4">
            <v>11401.91</v>
          </cell>
        </row>
      </sheetData>
      <sheetData sheetId="4" refreshError="1">
        <row r="8">
          <cell r="V8">
            <v>11671932.970000004</v>
          </cell>
        </row>
      </sheetData>
      <sheetData sheetId="5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49">
          <cell r="C49">
            <v>8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/>
      <sheetData sheetId="1" refreshError="1">
        <row r="19">
          <cell r="C19">
            <v>20290.5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1741</v>
          </cell>
        </row>
        <row r="24">
          <cell r="C24">
            <v>27375909.370000001</v>
          </cell>
        </row>
      </sheetData>
      <sheetData sheetId="1">
        <row r="51">
          <cell r="C51">
            <v>70199.199999999997</v>
          </cell>
        </row>
      </sheetData>
      <sheetData sheetId="2">
        <row r="46">
          <cell r="C46">
            <v>136785.33000000002</v>
          </cell>
        </row>
      </sheetData>
      <sheetData sheetId="3">
        <row r="4">
          <cell r="C4">
            <v>25349777.420000002</v>
          </cell>
          <cell r="E4">
            <v>945349.52</v>
          </cell>
          <cell r="F4">
            <v>513992.13</v>
          </cell>
          <cell r="G4">
            <v>168639.79</v>
          </cell>
          <cell r="H4">
            <v>94294.67</v>
          </cell>
          <cell r="J4">
            <v>27678.21</v>
          </cell>
        </row>
      </sheetData>
      <sheetData sheetId="4">
        <row r="8">
          <cell r="V8">
            <v>11519534.340000004</v>
          </cell>
        </row>
      </sheetData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>
        <row r="18">
          <cell r="C18">
            <v>9984.1</v>
          </cell>
        </row>
      </sheetData>
      <sheetData sheetId="2"/>
      <sheetData sheetId="3"/>
      <sheetData sheetId="4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49">
          <cell r="C49">
            <v>4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/>
      <sheetData sheetId="1" refreshError="1">
        <row r="19">
          <cell r="C19">
            <v>11401.91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>
        <row r="20">
          <cell r="C20">
            <v>1735</v>
          </cell>
        </row>
        <row r="24">
          <cell r="C24">
            <v>27142837.920000002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49">
          <cell r="C49">
            <v>6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/>
      <sheetData sheetId="2">
        <row r="46">
          <cell r="C46">
            <v>159106.38</v>
          </cell>
        </row>
        <row r="59">
          <cell r="C59">
            <v>155.43</v>
          </cell>
        </row>
      </sheetData>
      <sheetData sheetId="3">
        <row r="4">
          <cell r="C4">
            <v>25422914.079999998</v>
          </cell>
          <cell r="E4">
            <v>749020.99</v>
          </cell>
          <cell r="F4">
            <v>344316.57</v>
          </cell>
          <cell r="G4">
            <v>184483.9</v>
          </cell>
          <cell r="H4">
            <v>100556.4</v>
          </cell>
          <cell r="J4">
            <v>65368.35</v>
          </cell>
        </row>
      </sheetData>
      <sheetData sheetId="4">
        <row r="8">
          <cell r="V8">
            <v>11262300.880000003</v>
          </cell>
        </row>
      </sheetData>
      <sheetData sheetId="5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19">
          <cell r="C19">
            <v>0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1727</v>
          </cell>
        </row>
        <row r="24">
          <cell r="C24">
            <v>26919185.399999999</v>
          </cell>
        </row>
      </sheetData>
      <sheetData sheetId="1">
        <row r="51">
          <cell r="C51">
            <v>106018.57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49">
          <cell r="C49">
            <v>8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/>
      <sheetData sheetId="2">
        <row r="46">
          <cell r="C46">
            <v>141412.26</v>
          </cell>
        </row>
        <row r="59">
          <cell r="C59">
            <v>0</v>
          </cell>
        </row>
      </sheetData>
      <sheetData sheetId="3">
        <row r="4">
          <cell r="C4">
            <v>25312002.099999998</v>
          </cell>
          <cell r="E4">
            <v>707313.83</v>
          </cell>
          <cell r="F4">
            <v>338545.98</v>
          </cell>
          <cell r="G4">
            <v>146545.18</v>
          </cell>
          <cell r="H4">
            <v>97679.67</v>
          </cell>
          <cell r="J4">
            <v>52024.41</v>
          </cell>
        </row>
      </sheetData>
      <sheetData sheetId="4">
        <row r="8">
          <cell r="V8">
            <v>11006752.590000005</v>
          </cell>
        </row>
      </sheetData>
      <sheetData sheetId="5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19">
          <cell r="C19">
            <v>14909.76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 refreshError="1">
        <row r="18">
          <cell r="C18">
            <v>2043</v>
          </cell>
        </row>
        <row r="22">
          <cell r="C22">
            <v>44614316.960000001</v>
          </cell>
        </row>
      </sheetData>
      <sheetData sheetId="1" refreshError="1">
        <row r="49">
          <cell r="C49">
            <v>74135.710000000006</v>
          </cell>
        </row>
      </sheetData>
      <sheetData sheetId="2" refreshError="1">
        <row r="46">
          <cell r="C46"/>
        </row>
      </sheetData>
      <sheetData sheetId="3" refreshError="1">
        <row r="4">
          <cell r="C4">
            <v>43032566.649999999</v>
          </cell>
          <cell r="E4">
            <v>744854.69</v>
          </cell>
          <cell r="F4">
            <v>357232.64000000001</v>
          </cell>
          <cell r="G4">
            <v>36050.58</v>
          </cell>
          <cell r="H4">
            <v>99105.96</v>
          </cell>
          <cell r="J4">
            <v>125083.05</v>
          </cell>
        </row>
      </sheetData>
      <sheetData sheetId="4" refreshError="1">
        <row r="8">
          <cell r="V8">
            <v>35938687.269000016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1721</v>
          </cell>
        </row>
        <row r="24">
          <cell r="C24">
            <v>26657618.57</v>
          </cell>
        </row>
      </sheetData>
      <sheetData sheetId="1">
        <row r="51">
          <cell r="C51">
            <v>123022.73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49">
          <cell r="C49">
            <v>6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/>
      <sheetData sheetId="2">
        <row r="45">
          <cell r="C45">
            <v>133596.75</v>
          </cell>
        </row>
        <row r="59">
          <cell r="C59"/>
        </row>
      </sheetData>
      <sheetData sheetId="3">
        <row r="4">
          <cell r="C4">
            <v>25312002.099999998</v>
          </cell>
          <cell r="E4">
            <v>707313.83</v>
          </cell>
          <cell r="F4">
            <v>338545.98</v>
          </cell>
          <cell r="G4">
            <v>146545.18</v>
          </cell>
          <cell r="H4">
            <v>97679.67</v>
          </cell>
          <cell r="J4">
            <v>52024.41</v>
          </cell>
        </row>
      </sheetData>
      <sheetData sheetId="4">
        <row r="8">
          <cell r="V8">
            <v>11006752.590000005</v>
          </cell>
        </row>
      </sheetData>
      <sheetData sheetId="5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19">
          <cell r="C19">
            <v>10807.949999999999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1718</v>
          </cell>
        </row>
        <row r="24">
          <cell r="C24">
            <v>26526974.289999999</v>
          </cell>
        </row>
      </sheetData>
      <sheetData sheetId="1">
        <row r="51">
          <cell r="C51">
            <v>24243.96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49">
          <cell r="C49">
            <v>3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/>
      <sheetData sheetId="2">
        <row r="45">
          <cell r="C45">
            <v>143393.88</v>
          </cell>
        </row>
        <row r="59">
          <cell r="C59"/>
        </row>
      </sheetData>
      <sheetData sheetId="3">
        <row r="4">
          <cell r="C4">
            <v>25027791.330000002</v>
          </cell>
          <cell r="E4">
            <v>650766.34</v>
          </cell>
          <cell r="F4">
            <v>228135.18</v>
          </cell>
          <cell r="G4">
            <v>184187.86</v>
          </cell>
          <cell r="H4">
            <v>100430.49</v>
          </cell>
          <cell r="J4">
            <v>62683.1</v>
          </cell>
        </row>
      </sheetData>
      <sheetData sheetId="4">
        <row r="8">
          <cell r="V8">
            <v>10554453.420000004</v>
          </cell>
        </row>
      </sheetData>
      <sheetData sheetId="5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19">
          <cell r="C19">
            <v>30830.53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1709</v>
          </cell>
        </row>
        <row r="24">
          <cell r="C24">
            <v>26304455.16</v>
          </cell>
        </row>
      </sheetData>
      <sheetData sheetId="1">
        <row r="51">
          <cell r="C51">
            <v>119803.14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49">
          <cell r="C49">
            <v>9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/>
      <sheetData sheetId="4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/>
      <sheetData sheetId="2">
        <row r="45">
          <cell r="C45">
            <v>132524.37</v>
          </cell>
        </row>
        <row r="59">
          <cell r="C59"/>
        </row>
      </sheetData>
      <sheetData sheetId="3">
        <row r="4">
          <cell r="C4">
            <v>23612785.41</v>
          </cell>
          <cell r="E4">
            <v>783148.23</v>
          </cell>
          <cell r="F4">
            <v>648060.79</v>
          </cell>
          <cell r="G4">
            <v>115920.77</v>
          </cell>
          <cell r="H4">
            <v>145203.25</v>
          </cell>
          <cell r="J4">
            <v>109734.1</v>
          </cell>
        </row>
      </sheetData>
      <sheetData sheetId="4">
        <row r="8">
          <cell r="V8">
            <v>10323670.790000003</v>
          </cell>
        </row>
      </sheetData>
      <sheetData sheetId="5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19">
          <cell r="C19">
            <v>14070.34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>
        <row r="20">
          <cell r="C20">
            <v>1706</v>
          </cell>
        </row>
        <row r="24">
          <cell r="C24">
            <v>26158871.949999999</v>
          </cell>
        </row>
      </sheetData>
      <sheetData sheetId="1" refreshError="1">
        <row r="51">
          <cell r="C51">
            <v>19974.25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/>
      <sheetData sheetId="1" refreshError="1">
        <row r="49">
          <cell r="C49">
            <v>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/>
      <sheetData sheetId="2">
        <row r="45">
          <cell r="C45">
            <v>129626.58</v>
          </cell>
        </row>
        <row r="59">
          <cell r="C59"/>
        </row>
      </sheetData>
      <sheetData sheetId="3">
        <row r="4">
          <cell r="E4">
            <v>902246.31</v>
          </cell>
          <cell r="F4">
            <v>652863.94999999995</v>
          </cell>
          <cell r="G4">
            <v>152745.37</v>
          </cell>
          <cell r="H4">
            <v>127134.85</v>
          </cell>
          <cell r="J4">
            <v>88992.11</v>
          </cell>
        </row>
      </sheetData>
      <sheetData sheetId="4">
        <row r="8">
          <cell r="V8">
            <v>10154119.220000003</v>
          </cell>
        </row>
      </sheetData>
      <sheetData sheetId="5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/>
      <sheetData sheetId="1" refreshError="1">
        <row r="19">
          <cell r="C19">
            <v>60406.58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>
        <row r="20">
          <cell r="C20">
            <v>1698</v>
          </cell>
        </row>
        <row r="24">
          <cell r="C24">
            <v>25971781.579999998</v>
          </cell>
        </row>
      </sheetData>
      <sheetData sheetId="1" refreshError="1">
        <row r="51">
          <cell r="C51">
            <v>83744.69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/>
      <sheetData sheetId="1" refreshError="1">
        <row r="49">
          <cell r="C49">
            <v>8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/>
      <sheetData sheetId="2">
        <row r="45">
          <cell r="C45">
            <v>140247.41999999998</v>
          </cell>
        </row>
        <row r="59">
          <cell r="C59"/>
        </row>
      </sheetData>
      <sheetData sheetId="3">
        <row r="4">
          <cell r="E4">
            <v>974825.37</v>
          </cell>
          <cell r="F4">
            <v>475443.57</v>
          </cell>
          <cell r="G4">
            <v>390419.33</v>
          </cell>
          <cell r="H4">
            <v>89702.66</v>
          </cell>
          <cell r="J4">
            <v>120426.7</v>
          </cell>
        </row>
      </sheetData>
      <sheetData sheetId="4">
        <row r="8">
          <cell r="V8">
            <v>9939116.2300000023</v>
          </cell>
        </row>
      </sheetData>
      <sheetData sheetId="5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/>
      <sheetData sheetId="1" refreshError="1">
        <row r="19">
          <cell r="C19">
            <v>20391.330000000002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 refreshError="1">
        <row r="18">
          <cell r="C18">
            <v>2041</v>
          </cell>
        </row>
        <row r="22">
          <cell r="C22">
            <v>44440299.630000003</v>
          </cell>
        </row>
      </sheetData>
      <sheetData sheetId="1" refreshError="1">
        <row r="49">
          <cell r="C49">
            <v>263.01</v>
          </cell>
        </row>
      </sheetData>
      <sheetData sheetId="2" refreshError="1">
        <row r="46">
          <cell r="C46"/>
        </row>
      </sheetData>
      <sheetData sheetId="3" refreshError="1">
        <row r="4">
          <cell r="C4">
            <v>42945184.729999997</v>
          </cell>
          <cell r="E4">
            <v>696599.29</v>
          </cell>
          <cell r="F4">
            <v>321073.24</v>
          </cell>
          <cell r="G4">
            <v>38576.47</v>
          </cell>
          <cell r="H4">
            <v>60132.44</v>
          </cell>
          <cell r="J4">
            <v>92688.75</v>
          </cell>
        </row>
      </sheetData>
      <sheetData sheetId="4" refreshError="1">
        <row r="8">
          <cell r="V8">
            <v>35789479.159000017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1684</v>
          </cell>
        </row>
        <row r="24">
          <cell r="C24">
            <v>25594920.75</v>
          </cell>
        </row>
      </sheetData>
      <sheetData sheetId="1">
        <row r="51">
          <cell r="C51">
            <v>82950.240000000005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49">
          <cell r="C49">
            <v>8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/>
      <sheetData sheetId="2">
        <row r="45">
          <cell r="C45">
            <v>124798.01999999999</v>
          </cell>
        </row>
        <row r="59">
          <cell r="C59"/>
        </row>
      </sheetData>
      <sheetData sheetId="3">
        <row r="4">
          <cell r="C4">
            <v>23277645.449999999</v>
          </cell>
          <cell r="E4">
            <v>937116.86</v>
          </cell>
          <cell r="F4">
            <v>637744.04</v>
          </cell>
          <cell r="G4">
            <v>371673.91</v>
          </cell>
          <cell r="H4">
            <v>127902.6</v>
          </cell>
          <cell r="J4">
            <v>87539.41</v>
          </cell>
        </row>
      </sheetData>
      <sheetData sheetId="4">
        <row r="8">
          <cell r="V8">
            <v>9722327.450000003</v>
          </cell>
        </row>
      </sheetData>
      <sheetData sheetId="5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/>
      <sheetData sheetId="1" refreshError="1">
        <row r="19">
          <cell r="C19">
            <v>26241.19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>
        <row r="20">
          <cell r="C20">
            <v>1684</v>
          </cell>
        </row>
        <row r="24">
          <cell r="C24">
            <v>25594920.75</v>
          </cell>
        </row>
      </sheetData>
      <sheetData sheetId="1" refreshError="1">
        <row r="51">
          <cell r="C51">
            <v>82950.240000000005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/>
      <sheetData sheetId="1" refreshError="1">
        <row r="49">
          <cell r="C49">
            <v>8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/>
      <sheetData sheetId="2">
        <row r="27">
          <cell r="C27">
            <v>841813.81</v>
          </cell>
        </row>
        <row r="45">
          <cell r="C45">
            <v>126145.17</v>
          </cell>
        </row>
        <row r="59">
          <cell r="C59"/>
        </row>
      </sheetData>
      <sheetData sheetId="3">
        <row r="4">
          <cell r="C4">
            <v>22756314.079999998</v>
          </cell>
          <cell r="E4">
            <v>1047194.21</v>
          </cell>
          <cell r="F4">
            <v>821142.19</v>
          </cell>
          <cell r="G4">
            <v>238557.98</v>
          </cell>
          <cell r="H4">
            <v>249045.79</v>
          </cell>
          <cell r="J4">
            <v>88835.11</v>
          </cell>
        </row>
      </sheetData>
      <sheetData sheetId="4">
        <row r="8">
          <cell r="V8">
            <v>9506968.0500000026</v>
          </cell>
        </row>
      </sheetData>
      <sheetData sheetId="5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faulted Mortgages"/>
      <sheetName val="Cúmulos"/>
      <sheetName val="May_07"/>
      <sheetName val="May_07(2)"/>
      <sheetName val="Jun_07"/>
      <sheetName val="Jun_07(2)"/>
      <sheetName val="Jul_07"/>
      <sheetName val="Ago_07"/>
      <sheetName val="Sep_07"/>
      <sheetName val="Oct_07"/>
      <sheetName val="Nov_07"/>
      <sheetName val="Dic_07"/>
      <sheetName val="Ene_08"/>
      <sheetName val="Feb_08"/>
      <sheetName val="Mar_08"/>
      <sheetName val="Abr_08"/>
      <sheetName val="May_08"/>
      <sheetName val="Jun_08"/>
      <sheetName val="Jul_08"/>
      <sheetName val="Ago_08"/>
      <sheetName val="Sep_08"/>
      <sheetName val="Oct_08"/>
      <sheetName val="Nov_08"/>
      <sheetName val="Dic_08"/>
      <sheetName val="Ene_09"/>
      <sheetName val="Feb_09"/>
      <sheetName val="Mar_09"/>
      <sheetName val="Abr_09"/>
      <sheetName val="Abr_09 (2)"/>
      <sheetName val="May_09"/>
      <sheetName val="Jun_09"/>
      <sheetName val="Jul_09"/>
      <sheetName val="Ago_09"/>
      <sheetName val="Sep_09"/>
      <sheetName val="Oct_09"/>
      <sheetName val="Nov_09"/>
      <sheetName val="Dic_09"/>
      <sheetName val="Ene_10 Draft"/>
      <sheetName val="Ene_10"/>
      <sheetName val="Feb_10"/>
      <sheetName val="Mar_10"/>
      <sheetName val="Abr_10"/>
      <sheetName val="May_10"/>
      <sheetName val="Jun_10"/>
      <sheetName val="Jul_10"/>
      <sheetName val="Ago_10"/>
      <sheetName val="Sep_10"/>
      <sheetName val="Oct_10"/>
      <sheetName val="Nov_10"/>
      <sheetName val="Dic_10"/>
      <sheetName val="Ene_11"/>
      <sheetName val="Feb_11"/>
      <sheetName val="Mar_11"/>
      <sheetName val="Abr_11"/>
      <sheetName val="May_11"/>
      <sheetName val="Jun_11"/>
      <sheetName val="Jul_11"/>
      <sheetName val="Ago_11"/>
      <sheetName val="Sep_11"/>
      <sheetName val="Oct_11"/>
      <sheetName val="Nov_11"/>
      <sheetName val="Dic_11"/>
      <sheetName val="Ene_12"/>
      <sheetName val="Feb_12"/>
      <sheetName val="Mar_12"/>
      <sheetName val="Abr_12"/>
      <sheetName val="May_12"/>
      <sheetName val="Jun_12"/>
      <sheetName val="Jul_12"/>
      <sheetName val="Ago_12"/>
      <sheetName val="Sep_12"/>
      <sheetName val="Oct_12"/>
      <sheetName val="Nov_12"/>
      <sheetName val="Dic_12"/>
      <sheetName val="Ene_13"/>
      <sheetName val="Feb_13"/>
      <sheetName val="Mar_13"/>
      <sheetName val="Abr_13"/>
      <sheetName val="May_13"/>
      <sheetName val="Jun_13"/>
      <sheetName val="Jul_13"/>
      <sheetName val="Ago_13"/>
      <sheetName val="Sep_13"/>
      <sheetName val="Oct_13"/>
      <sheetName val="Nov_13"/>
      <sheetName val="Dic_13"/>
      <sheetName val="Ene-14"/>
      <sheetName val="Feb-14"/>
      <sheetName val="Mar-14"/>
      <sheetName val="Abr-14"/>
      <sheetName val="May-14"/>
      <sheetName val="Jun-14"/>
      <sheetName val="Jul-14"/>
      <sheetName val="Ago-14"/>
      <sheetName val="Sep-14"/>
      <sheetName val="Oct-14"/>
      <sheetName val="Nov-14"/>
      <sheetName val="Dic-14"/>
      <sheetName val="Ene-15"/>
      <sheetName val="Feb-15"/>
      <sheetName val="Mar-15"/>
      <sheetName val="Abr-15"/>
      <sheetName val="May-15"/>
      <sheetName val="Jun-15"/>
      <sheetName val="Jul-15"/>
      <sheetName val="Ago-15"/>
      <sheetName val="Sep-15"/>
      <sheetName val="Oct-15"/>
      <sheetName val="Nov-15"/>
      <sheetName val="Dic-15"/>
      <sheetName val="Ene-16"/>
      <sheetName val="Feb-16"/>
      <sheetName val="Mar-16"/>
      <sheetName val="Abr-16"/>
      <sheetName val="May-16"/>
      <sheetName val="Jun-16"/>
      <sheetName val="Jul-16"/>
      <sheetName val="Ago-16"/>
      <sheetName val="Sep-16"/>
      <sheetName val="Oct-16"/>
      <sheetName val="Nov-16"/>
      <sheetName val="Dic-16"/>
      <sheetName val="Ene-17"/>
      <sheetName val="Feb-17"/>
      <sheetName val="Mar-17"/>
      <sheetName val="Abr-17"/>
      <sheetName val="May-17"/>
      <sheetName val="Jun-17"/>
      <sheetName val="Jul-17"/>
      <sheetName val="Ago-17"/>
      <sheetName val="Sep-17"/>
      <sheetName val="Oct-17"/>
      <sheetName val="Nov-17"/>
      <sheetName val="Dic-17"/>
      <sheetName val="Ene-18"/>
      <sheetName val="Feb-18"/>
      <sheetName val="Mar-18"/>
      <sheetName val="Abr-18"/>
      <sheetName val="May-18"/>
      <sheetName val="Jun-18"/>
      <sheetName val="Jul-18"/>
      <sheetName val="Ago-18"/>
      <sheetName val="Sep-18"/>
      <sheetName val="Oct-18"/>
      <sheetName val="Nov-18"/>
      <sheetName val="Dic-18"/>
      <sheetName val="Ene-19"/>
      <sheetName val="Feb-19"/>
      <sheetName val="Mar-19"/>
      <sheetName val="Abr-19"/>
      <sheetName val="May-19"/>
      <sheetName val="Jun-19"/>
      <sheetName val="Jul-19"/>
      <sheetName val="Ago-19"/>
      <sheetName val="Sep-19"/>
      <sheetName val="Oct-19"/>
      <sheetName val="Nov-19"/>
      <sheetName val="Dec-19"/>
      <sheetName val="Ene-20"/>
      <sheetName val="Feb-20"/>
      <sheetName val="Mar-20"/>
      <sheetName val="Abr-20"/>
      <sheetName val="May-20"/>
      <sheetName val="Jun-20"/>
      <sheetName val="Jul-20"/>
      <sheetName val="Ago-20"/>
      <sheetName val="Sep-20"/>
      <sheetName val="Oct-20"/>
      <sheetName val="Nov-20"/>
      <sheetName val="Dec-20"/>
      <sheetName val="Ene-21"/>
      <sheetName val="Feb-21"/>
      <sheetName val="Mar-21"/>
      <sheetName val="Abr-21"/>
      <sheetName val="May-21"/>
      <sheetName val="Jun-21"/>
      <sheetName val="Jul-21"/>
      <sheetName val="Ago-21"/>
      <sheetName val="Sep-21"/>
      <sheetName val="Oct-21"/>
      <sheetName val=" Nov-21 errado"/>
      <sheetName val="Nov-21 correg"/>
      <sheetName val="Dic-21"/>
      <sheetName val="Ene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>
        <row r="19">
          <cell r="C19"/>
        </row>
      </sheetData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1671</v>
          </cell>
        </row>
        <row r="24">
          <cell r="C24">
            <v>25288043.030000001</v>
          </cell>
        </row>
        <row r="26">
          <cell r="F26">
            <v>5.7500000000000002E-2</v>
          </cell>
        </row>
      </sheetData>
      <sheetData sheetId="1">
        <row r="19">
          <cell r="C19">
            <v>29726.550000000003</v>
          </cell>
        </row>
        <row r="49">
          <cell r="C49">
            <v>13</v>
          </cell>
        </row>
        <row r="51">
          <cell r="C51">
            <v>172597.1</v>
          </cell>
        </row>
      </sheetData>
      <sheetData sheetId="2">
        <row r="45">
          <cell r="C45">
            <v>123350.94</v>
          </cell>
        </row>
        <row r="58">
          <cell r="C58">
            <v>0</v>
          </cell>
        </row>
      </sheetData>
      <sheetData sheetId="3">
        <row r="4">
          <cell r="C4">
            <v>22406108.109999999</v>
          </cell>
          <cell r="E4">
            <v>1032513.54</v>
          </cell>
          <cell r="F4">
            <v>770208.14</v>
          </cell>
          <cell r="G4">
            <v>407034.55</v>
          </cell>
          <cell r="H4">
            <v>167912.64</v>
          </cell>
          <cell r="J4">
            <v>108966.63</v>
          </cell>
        </row>
      </sheetData>
      <sheetData sheetId="4">
        <row r="8">
          <cell r="V8">
            <v>9168257.0000000019</v>
          </cell>
        </row>
      </sheetData>
      <sheetData sheetId="5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1670</v>
          </cell>
        </row>
        <row r="24">
          <cell r="C24">
            <v>25179193.039999999</v>
          </cell>
        </row>
        <row r="26">
          <cell r="F26">
            <v>5.7500000000000002E-2</v>
          </cell>
        </row>
      </sheetData>
      <sheetData sheetId="1">
        <row r="19">
          <cell r="C19">
            <v>28157.84</v>
          </cell>
        </row>
        <row r="49">
          <cell r="C49">
            <v>1</v>
          </cell>
        </row>
        <row r="51">
          <cell r="C51">
            <v>18927.36</v>
          </cell>
        </row>
      </sheetData>
      <sheetData sheetId="2">
        <row r="45">
          <cell r="C45">
            <v>107444.34</v>
          </cell>
        </row>
        <row r="58">
          <cell r="C58">
            <v>0</v>
          </cell>
        </row>
      </sheetData>
      <sheetData sheetId="3">
        <row r="4">
          <cell r="C4">
            <v>22275882.529999997</v>
          </cell>
          <cell r="E4">
            <v>1059657.95</v>
          </cell>
          <cell r="F4">
            <v>713282.88</v>
          </cell>
          <cell r="G4">
            <v>293283.78000000003</v>
          </cell>
          <cell r="H4">
            <v>332978.21999999997</v>
          </cell>
          <cell r="J4">
            <v>131100.72</v>
          </cell>
        </row>
      </sheetData>
      <sheetData sheetId="4">
        <row r="8">
          <cell r="V8">
            <v>9049515.0700000022</v>
          </cell>
        </row>
      </sheetData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>
        <row r="18">
          <cell r="C18">
            <v>66621.320000000007</v>
          </cell>
        </row>
      </sheetData>
      <sheetData sheetId="2"/>
      <sheetData sheetId="3"/>
      <sheetData sheetId="4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1663</v>
          </cell>
        </row>
        <row r="24">
          <cell r="C24">
            <v>24980774.460000001</v>
          </cell>
        </row>
        <row r="26">
          <cell r="F26">
            <v>5.7500000000000002E-2</v>
          </cell>
        </row>
      </sheetData>
      <sheetData sheetId="1">
        <row r="19">
          <cell r="C19">
            <v>0</v>
          </cell>
        </row>
        <row r="49">
          <cell r="C49">
            <v>7</v>
          </cell>
        </row>
        <row r="51">
          <cell r="C51">
            <v>74651.960000000006</v>
          </cell>
        </row>
      </sheetData>
      <sheetData sheetId="2">
        <row r="45">
          <cell r="C45">
            <v>106052.79000000001</v>
          </cell>
        </row>
        <row r="58">
          <cell r="C58">
            <v>0</v>
          </cell>
        </row>
      </sheetData>
      <sheetData sheetId="3">
        <row r="4">
          <cell r="C4">
            <v>21979550.609999999</v>
          </cell>
          <cell r="E4">
            <v>1011787.22</v>
          </cell>
          <cell r="F4">
            <v>850624.19</v>
          </cell>
          <cell r="G4">
            <v>326450.12</v>
          </cell>
          <cell r="H4">
            <v>117277.83</v>
          </cell>
          <cell r="J4">
            <v>315851.51</v>
          </cell>
        </row>
      </sheetData>
      <sheetData sheetId="4">
        <row r="8">
          <cell r="V8">
            <v>8830534.4700000025</v>
          </cell>
        </row>
      </sheetData>
      <sheetData sheetId="5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1656</v>
          </cell>
        </row>
        <row r="24">
          <cell r="C24">
            <v>24770242.829999998</v>
          </cell>
        </row>
        <row r="26">
          <cell r="F26">
            <v>5.7500000000000002E-2</v>
          </cell>
        </row>
      </sheetData>
      <sheetData sheetId="1">
        <row r="19">
          <cell r="C19">
            <v>85005.9</v>
          </cell>
        </row>
        <row r="49">
          <cell r="C49">
            <v>7</v>
          </cell>
        </row>
        <row r="51">
          <cell r="C51">
            <v>92361.99</v>
          </cell>
        </row>
      </sheetData>
      <sheetData sheetId="2">
        <row r="45">
          <cell r="C45">
            <v>121966.23000000001</v>
          </cell>
        </row>
        <row r="58">
          <cell r="C58">
            <v>0</v>
          </cell>
        </row>
      </sheetData>
      <sheetData sheetId="3">
        <row r="4">
          <cell r="C4">
            <v>21924983</v>
          </cell>
          <cell r="E4">
            <v>1040565</v>
          </cell>
          <cell r="F4">
            <v>719545</v>
          </cell>
          <cell r="G4">
            <v>211433</v>
          </cell>
          <cell r="H4">
            <v>187877</v>
          </cell>
          <cell r="J4">
            <v>197245</v>
          </cell>
        </row>
      </sheetData>
      <sheetData sheetId="4">
        <row r="8">
          <cell r="V8">
            <v>0</v>
          </cell>
        </row>
        <row r="9">
          <cell r="V9">
            <v>0</v>
          </cell>
        </row>
      </sheetData>
      <sheetData sheetId="5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2278</v>
          </cell>
        </row>
        <row r="22">
          <cell r="C22">
            <v>44229018.859999999</v>
          </cell>
        </row>
      </sheetData>
      <sheetData sheetId="1">
        <row r="18">
          <cell r="C18">
            <v>0</v>
          </cell>
        </row>
        <row r="49">
          <cell r="C49">
            <v>286886.84999999998</v>
          </cell>
        </row>
      </sheetData>
      <sheetData sheetId="2">
        <row r="31">
          <cell r="C31">
            <v>274271.11480000039</v>
          </cell>
        </row>
        <row r="48">
          <cell r="C48">
            <v>0</v>
          </cell>
        </row>
      </sheetData>
      <sheetData sheetId="3">
        <row r="4">
          <cell r="C4">
            <v>42478182.340000004</v>
          </cell>
          <cell r="E4">
            <v>1136173.19</v>
          </cell>
          <cell r="F4">
            <v>255859.94</v>
          </cell>
          <cell r="G4">
            <v>77294.45</v>
          </cell>
          <cell r="H4">
            <v>29079.69</v>
          </cell>
          <cell r="J4">
            <v>58686.559999999998</v>
          </cell>
        </row>
      </sheetData>
      <sheetData sheetId="4">
        <row r="8">
          <cell r="V8">
            <v>26910682.570000038</v>
          </cell>
        </row>
        <row r="9">
          <cell r="V9">
            <v>9600000</v>
          </cell>
        </row>
      </sheetData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2266</v>
          </cell>
        </row>
        <row r="22">
          <cell r="C22">
            <v>43794121.439999998</v>
          </cell>
        </row>
      </sheetData>
      <sheetData sheetId="1">
        <row r="18">
          <cell r="C18">
            <v>19786.21</v>
          </cell>
        </row>
        <row r="49">
          <cell r="C49">
            <v>290236.57</v>
          </cell>
        </row>
      </sheetData>
      <sheetData sheetId="2">
        <row r="31">
          <cell r="C31">
            <v>269106.82570000039</v>
          </cell>
        </row>
        <row r="48">
          <cell r="C48">
            <v>0</v>
          </cell>
        </row>
      </sheetData>
      <sheetData sheetId="3">
        <row r="4">
          <cell r="C4">
            <v>41594862.229999997</v>
          </cell>
          <cell r="E4">
            <v>1415007.89</v>
          </cell>
          <cell r="F4">
            <v>421074.12</v>
          </cell>
          <cell r="G4">
            <v>80458.69</v>
          </cell>
          <cell r="H4">
            <v>37641.82</v>
          </cell>
          <cell r="J4">
            <v>31547.79</v>
          </cell>
        </row>
      </sheetData>
      <sheetData sheetId="4">
        <row r="8">
          <cell r="V8">
            <v>26404106.600000039</v>
          </cell>
        </row>
        <row r="9">
          <cell r="V9">
            <v>9600000</v>
          </cell>
        </row>
      </sheetData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2254</v>
          </cell>
        </row>
        <row r="22">
          <cell r="C22">
            <v>43433807.240000002</v>
          </cell>
        </row>
      </sheetData>
      <sheetData sheetId="1">
        <row r="18">
          <cell r="C18">
            <v>31547.79</v>
          </cell>
        </row>
        <row r="49">
          <cell r="C49">
            <v>191021.3</v>
          </cell>
        </row>
      </sheetData>
      <sheetData sheetId="2">
        <row r="31">
          <cell r="C31">
            <v>264041.0660000004</v>
          </cell>
        </row>
        <row r="48">
          <cell r="C48">
            <v>0</v>
          </cell>
        </row>
      </sheetData>
      <sheetData sheetId="3">
        <row r="4">
          <cell r="C4">
            <v>40898607.689999998</v>
          </cell>
          <cell r="E4">
            <v>1709473.14</v>
          </cell>
          <cell r="F4">
            <v>397318.06</v>
          </cell>
          <cell r="G4">
            <v>105993.08</v>
          </cell>
          <cell r="H4">
            <v>59404.91</v>
          </cell>
          <cell r="J4">
            <v>17933.669999999998</v>
          </cell>
        </row>
      </sheetData>
      <sheetData sheetId="4">
        <row r="8">
          <cell r="V8">
            <v>25996856.570000038</v>
          </cell>
        </row>
        <row r="9">
          <cell r="V9">
            <v>9600000</v>
          </cell>
        </row>
      </sheetData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2248</v>
          </cell>
        </row>
        <row r="22">
          <cell r="C22">
            <v>43162431.539999999</v>
          </cell>
        </row>
      </sheetData>
      <sheetData sheetId="1">
        <row r="49">
          <cell r="C49">
            <v>119108.45</v>
          </cell>
        </row>
      </sheetData>
      <sheetData sheetId="2">
        <row r="31">
          <cell r="C31">
            <v>259968.56570000041</v>
          </cell>
        </row>
        <row r="48">
          <cell r="C48">
            <v>0</v>
          </cell>
        </row>
      </sheetData>
      <sheetData sheetId="3">
        <row r="4">
          <cell r="C4">
            <v>40889839.969999999</v>
          </cell>
          <cell r="E4">
            <v>1440777.78</v>
          </cell>
          <cell r="F4">
            <v>353431.51</v>
          </cell>
          <cell r="G4">
            <v>164572.53</v>
          </cell>
          <cell r="H4">
            <v>31091.24</v>
          </cell>
          <cell r="J4">
            <v>19708.150000000001</v>
          </cell>
        </row>
        <row r="15">
          <cell r="P15">
            <v>17933.669999999998</v>
          </cell>
        </row>
      </sheetData>
      <sheetData sheetId="4">
        <row r="8">
          <cell r="V8">
            <v>25639517.54000004</v>
          </cell>
        </row>
        <row r="9">
          <cell r="V9">
            <v>9600000</v>
          </cell>
        </row>
      </sheetData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2243</v>
          </cell>
        </row>
        <row r="22">
          <cell r="C22">
            <v>42918955.640000001</v>
          </cell>
        </row>
      </sheetData>
      <sheetData sheetId="1">
        <row r="49">
          <cell r="C49">
            <v>60686.55</v>
          </cell>
        </row>
      </sheetData>
      <sheetData sheetId="2">
        <row r="31">
          <cell r="C31">
            <v>256395.17540000041</v>
          </cell>
        </row>
        <row r="48">
          <cell r="C48">
            <v>0</v>
          </cell>
        </row>
      </sheetData>
      <sheetData sheetId="3">
        <row r="4">
          <cell r="C4">
            <v>40532395.629999995</v>
          </cell>
          <cell r="E4">
            <v>1349149.37</v>
          </cell>
          <cell r="F4">
            <v>549482.69999999995</v>
          </cell>
          <cell r="G4">
            <v>50945.66</v>
          </cell>
          <cell r="H4">
            <v>136666.67000000001</v>
          </cell>
          <cell r="J4">
            <v>17597.099999999999</v>
          </cell>
        </row>
        <row r="15">
          <cell r="P15">
            <v>21665.280000000002</v>
          </cell>
        </row>
      </sheetData>
      <sheetData sheetId="4">
        <row r="8">
          <cell r="V8">
            <v>25333130.900000039</v>
          </cell>
        </row>
        <row r="9">
          <cell r="V9">
            <v>9600000</v>
          </cell>
        </row>
      </sheetData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2229</v>
          </cell>
        </row>
        <row r="22">
          <cell r="C22">
            <v>42483020.439999998</v>
          </cell>
        </row>
      </sheetData>
      <sheetData sheetId="1">
        <row r="16">
          <cell r="C16">
            <v>240011.59</v>
          </cell>
        </row>
        <row r="49">
          <cell r="C49">
            <v>263125.68</v>
          </cell>
        </row>
      </sheetData>
      <sheetData sheetId="2">
        <row r="31">
          <cell r="C31">
            <v>253331.30900000039</v>
          </cell>
        </row>
        <row r="48">
          <cell r="C48">
            <v>0</v>
          </cell>
        </row>
      </sheetData>
      <sheetData sheetId="3">
        <row r="4">
          <cell r="C4">
            <v>40111799.990000002</v>
          </cell>
          <cell r="E4">
            <v>1229841.43</v>
          </cell>
          <cell r="F4">
            <v>566092.66</v>
          </cell>
          <cell r="G4">
            <v>204544.51</v>
          </cell>
          <cell r="H4">
            <v>11482.9</v>
          </cell>
          <cell r="J4">
            <v>119247.36</v>
          </cell>
        </row>
      </sheetData>
      <sheetData sheetId="4">
        <row r="8">
          <cell r="V8">
            <v>24833771.510000039</v>
          </cell>
        </row>
        <row r="9">
          <cell r="V9">
            <v>9600000</v>
          </cell>
        </row>
      </sheetData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/>
      <sheetData sheetId="2"/>
      <sheetData sheetId="3">
        <row r="15">
          <cell r="P15">
            <v>17597.099999999999</v>
          </cell>
        </row>
      </sheetData>
      <sheetData sheetId="4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2215</v>
          </cell>
        </row>
        <row r="22">
          <cell r="C22">
            <v>42084668.969999999</v>
          </cell>
        </row>
      </sheetData>
      <sheetData sheetId="1">
        <row r="16">
          <cell r="C16">
            <v>347330.29000000004</v>
          </cell>
        </row>
        <row r="49">
          <cell r="C49">
            <v>238035.52</v>
          </cell>
        </row>
      </sheetData>
      <sheetData sheetId="2">
        <row r="31">
          <cell r="C31">
            <v>248337.71510000038</v>
          </cell>
        </row>
        <row r="48">
          <cell r="C48">
            <v>0</v>
          </cell>
        </row>
      </sheetData>
      <sheetData sheetId="3">
        <row r="4">
          <cell r="C4">
            <v>39702966.990000002</v>
          </cell>
          <cell r="E4">
            <v>1354442.61</v>
          </cell>
          <cell r="F4">
            <v>504441</v>
          </cell>
          <cell r="G4">
            <v>85359.13</v>
          </cell>
          <cell r="H4">
            <v>90128.95</v>
          </cell>
          <cell r="J4">
            <v>0</v>
          </cell>
        </row>
      </sheetData>
      <sheetData sheetId="4">
        <row r="8">
          <cell r="V8">
            <v>24352165.270000041</v>
          </cell>
        </row>
        <row r="9">
          <cell r="V9">
            <v>9600000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2039</v>
          </cell>
        </row>
        <row r="22">
          <cell r="C22">
            <v>44231898.5</v>
          </cell>
        </row>
      </sheetData>
      <sheetData sheetId="1">
        <row r="49">
          <cell r="C49">
            <v>29.98</v>
          </cell>
        </row>
      </sheetData>
      <sheetData sheetId="2">
        <row r="46">
          <cell r="C46"/>
        </row>
      </sheetData>
      <sheetData sheetId="3">
        <row r="4">
          <cell r="C4">
            <v>42770755.299999997</v>
          </cell>
          <cell r="E4">
            <v>634370.59</v>
          </cell>
          <cell r="F4">
            <v>286021.43</v>
          </cell>
          <cell r="G4">
            <v>11878.72</v>
          </cell>
          <cell r="H4">
            <v>123639.82</v>
          </cell>
          <cell r="J4">
            <v>78011.11</v>
          </cell>
        </row>
      </sheetData>
      <sheetData sheetId="4">
        <row r="8">
          <cell r="V8">
            <v>35465928.389000013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/>
      <sheetData sheetId="2"/>
      <sheetData sheetId="3">
        <row r="15">
          <cell r="P15">
            <v>107318.7</v>
          </cell>
        </row>
      </sheetData>
      <sheetData sheetId="4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2073</v>
          </cell>
        </row>
        <row r="22">
          <cell r="C22">
            <v>41844197.909999996</v>
          </cell>
        </row>
      </sheetData>
      <sheetData sheetId="1">
        <row r="16">
          <cell r="C16">
            <v>301247.51</v>
          </cell>
        </row>
        <row r="49">
          <cell r="C49">
            <v>109081.12</v>
          </cell>
        </row>
      </sheetData>
      <sheetData sheetId="2">
        <row r="31">
          <cell r="C31">
            <v>243521.65270000041</v>
          </cell>
        </row>
        <row r="48">
          <cell r="C48">
            <v>0</v>
          </cell>
        </row>
      </sheetData>
      <sheetData sheetId="3">
        <row r="4">
          <cell r="C4">
            <v>39225956.010000005</v>
          </cell>
          <cell r="E4">
            <v>1338616.83</v>
          </cell>
          <cell r="F4">
            <v>563334.93999999994</v>
          </cell>
          <cell r="G4">
            <v>284443.02</v>
          </cell>
          <cell r="H4">
            <v>88889.51</v>
          </cell>
          <cell r="J4">
            <v>41710.089999999997</v>
          </cell>
        </row>
      </sheetData>
      <sheetData sheetId="4">
        <row r="8">
          <cell r="V8">
            <v>24081035.20000004</v>
          </cell>
        </row>
        <row r="9">
          <cell r="V9">
            <v>9600000</v>
          </cell>
        </row>
      </sheetData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/>
      <sheetData sheetId="2"/>
      <sheetData sheetId="3">
        <row r="15">
          <cell r="P15">
            <v>0</v>
          </cell>
        </row>
      </sheetData>
      <sheetData sheetId="4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2201</v>
          </cell>
        </row>
        <row r="22">
          <cell r="C22">
            <v>41515273.689999998</v>
          </cell>
        </row>
      </sheetData>
      <sheetData sheetId="1">
        <row r="16">
          <cell r="C16">
            <v>304234.40000000002</v>
          </cell>
        </row>
        <row r="49">
          <cell r="C49">
            <v>120110.04999999999</v>
          </cell>
        </row>
      </sheetData>
      <sheetData sheetId="2">
        <row r="31">
          <cell r="C31">
            <v>240810.35200000042</v>
          </cell>
        </row>
        <row r="48">
          <cell r="C48">
            <v>266646.42180000001</v>
          </cell>
        </row>
      </sheetData>
      <sheetData sheetId="3">
        <row r="4">
          <cell r="C4">
            <v>39269369.920000002</v>
          </cell>
          <cell r="E4">
            <v>1187790.57</v>
          </cell>
          <cell r="F4">
            <v>395433.87</v>
          </cell>
          <cell r="G4">
            <v>165017</v>
          </cell>
          <cell r="H4">
            <v>147891.81</v>
          </cell>
          <cell r="J4">
            <v>45536.12</v>
          </cell>
        </row>
      </sheetData>
      <sheetData sheetId="4">
        <row r="8">
          <cell r="V8">
            <v>23402973.420000039</v>
          </cell>
        </row>
        <row r="9">
          <cell r="V9">
            <v>9600000</v>
          </cell>
        </row>
      </sheetData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/>
      <sheetData sheetId="2"/>
      <sheetData sheetId="3">
        <row r="15">
          <cell r="P15">
            <v>14442.3</v>
          </cell>
        </row>
      </sheetData>
      <sheetData sheetId="4"/>
    </sheetDataSet>
  </externalBook>
</externalLink>
</file>

<file path=xl/externalLinks/externalLink1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2188</v>
          </cell>
        </row>
        <row r="22">
          <cell r="C22">
            <v>41126683.450000003</v>
          </cell>
        </row>
      </sheetData>
      <sheetData sheetId="1">
        <row r="16">
          <cell r="C16">
            <v>336838.76</v>
          </cell>
        </row>
        <row r="49">
          <cell r="C49">
            <v>204710.53</v>
          </cell>
        </row>
      </sheetData>
      <sheetData sheetId="2">
        <row r="31">
          <cell r="C31">
            <v>234029.73420000038</v>
          </cell>
        </row>
        <row r="48">
          <cell r="C48">
            <v>0</v>
          </cell>
        </row>
      </sheetData>
      <sheetData sheetId="3">
        <row r="4">
          <cell r="C4">
            <v>38822169.220000006</v>
          </cell>
          <cell r="E4">
            <v>1249107.8999999999</v>
          </cell>
          <cell r="F4">
            <v>493391.46</v>
          </cell>
          <cell r="G4">
            <v>111516.03</v>
          </cell>
          <cell r="H4">
            <v>84362.44</v>
          </cell>
          <cell r="J4">
            <v>29297.64</v>
          </cell>
        </row>
      </sheetData>
      <sheetData sheetId="4">
        <row r="8">
          <cell r="V8">
            <v>22957102.440000039</v>
          </cell>
        </row>
        <row r="9">
          <cell r="V9">
            <v>9600000</v>
          </cell>
        </row>
      </sheetData>
    </sheetDataSet>
  </externalBook>
</externalLink>
</file>

<file path=xl/externalLinks/externalLink1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/>
      <sheetData sheetId="2"/>
      <sheetData sheetId="3">
        <row r="15">
          <cell r="P15">
            <v>32604.36</v>
          </cell>
        </row>
      </sheetData>
      <sheetData sheetId="4"/>
    </sheetDataSet>
  </externalBook>
</externalLink>
</file>

<file path=xl/externalLinks/externalLink1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2182</v>
          </cell>
        </row>
        <row r="22">
          <cell r="C22">
            <v>40835390.359999999</v>
          </cell>
        </row>
      </sheetData>
      <sheetData sheetId="1">
        <row r="16">
          <cell r="C16">
            <v>277854.45999999996</v>
          </cell>
        </row>
        <row r="49">
          <cell r="C49">
            <v>120334.35</v>
          </cell>
        </row>
      </sheetData>
      <sheetData sheetId="2">
        <row r="31">
          <cell r="C31">
            <v>229571.0244000004</v>
          </cell>
        </row>
        <row r="48">
          <cell r="C48">
            <v>0</v>
          </cell>
        </row>
      </sheetData>
      <sheetData sheetId="3">
        <row r="4">
          <cell r="C4">
            <v>38285180.299999997</v>
          </cell>
          <cell r="E4">
            <v>1272734.3999999999</v>
          </cell>
          <cell r="F4">
            <v>562718.88</v>
          </cell>
          <cell r="G4">
            <v>263560.15000000002</v>
          </cell>
          <cell r="H4">
            <v>125824.79</v>
          </cell>
          <cell r="J4">
            <v>47517.38</v>
          </cell>
        </row>
      </sheetData>
      <sheetData sheetId="4">
        <row r="8">
          <cell r="V8">
            <v>22633007.480000038</v>
          </cell>
        </row>
        <row r="9">
          <cell r="V9">
            <v>9600000</v>
          </cell>
        </row>
      </sheetData>
    </sheetDataSet>
  </externalBook>
</externalLink>
</file>

<file path=xl/externalLinks/externalLink1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/>
      <sheetData sheetId="2"/>
      <sheetData sheetId="3">
        <row r="15">
          <cell r="P15">
            <v>0</v>
          </cell>
        </row>
      </sheetData>
      <sheetData sheetId="4"/>
    </sheetDataSet>
  </externalBook>
</externalLink>
</file>

<file path=xl/externalLinks/externalLink1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18">
          <cell r="C18">
            <v>2178</v>
          </cell>
        </row>
        <row r="22">
          <cell r="C22">
            <v>40584375.090000004</v>
          </cell>
        </row>
      </sheetData>
      <sheetData sheetId="1">
        <row r="16">
          <cell r="C16">
            <v>285801.15999999997</v>
          </cell>
        </row>
        <row r="49">
          <cell r="C49">
            <v>69740.97</v>
          </cell>
        </row>
      </sheetData>
      <sheetData sheetId="2">
        <row r="31">
          <cell r="C31">
            <v>0</v>
          </cell>
        </row>
        <row r="44">
          <cell r="C44">
            <v>226330.07480000038</v>
          </cell>
        </row>
        <row r="61">
          <cell r="C61">
            <v>0</v>
          </cell>
        </row>
      </sheetData>
      <sheetData sheetId="3">
        <row r="4">
          <cell r="C4">
            <v>38534386.780000001</v>
          </cell>
          <cell r="E4">
            <v>1128096.3899999999</v>
          </cell>
          <cell r="F4">
            <v>351094.35</v>
          </cell>
          <cell r="G4">
            <v>138341.66</v>
          </cell>
          <cell r="H4">
            <v>75406.34</v>
          </cell>
          <cell r="J4">
            <v>71248.41</v>
          </cell>
        </row>
      </sheetData>
      <sheetData sheetId="4">
        <row r="8">
          <cell r="V8">
            <v>22282460.140000038</v>
          </cell>
        </row>
        <row r="9">
          <cell r="V9">
            <v>9600000</v>
          </cell>
        </row>
      </sheetData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>
        <row r="18">
          <cell r="C18">
            <v>32829.69</v>
          </cell>
        </row>
      </sheetData>
      <sheetData sheetId="2"/>
      <sheetData sheetId="3"/>
      <sheetData sheetId="4"/>
    </sheetDataSet>
  </externalBook>
</externalLink>
</file>

<file path=xl/externalLinks/externalLink1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/>
      <sheetData sheetId="2"/>
      <sheetData sheetId="3">
        <row r="15">
          <cell r="P15">
            <v>22389</v>
          </cell>
        </row>
      </sheetData>
      <sheetData sheetId="4"/>
    </sheetDataSet>
  </externalBook>
</externalLink>
</file>

<file path=xl/externalLinks/externalLink1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2177</v>
          </cell>
        </row>
      </sheetData>
      <sheetData sheetId="1"/>
      <sheetData sheetId="2"/>
      <sheetData sheetId="3">
        <row r="4">
          <cell r="C4">
            <v>38450084.740000002</v>
          </cell>
        </row>
      </sheetData>
      <sheetData sheetId="4"/>
    </sheetDataSet>
  </externalBook>
</externalLink>
</file>

<file path=xl/externalLinks/externalLink1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22">
          <cell r="C22">
            <v>40274323.990000002</v>
          </cell>
        </row>
      </sheetData>
      <sheetData sheetId="1">
        <row r="16">
          <cell r="C16">
            <v>355444.56</v>
          </cell>
        </row>
        <row r="49">
          <cell r="C49">
            <v>0.6</v>
          </cell>
        </row>
      </sheetData>
      <sheetData sheetId="2">
        <row r="31">
          <cell r="C31">
            <v>0</v>
          </cell>
        </row>
        <row r="44">
          <cell r="C44">
            <v>222824.60140000039</v>
          </cell>
        </row>
        <row r="61">
          <cell r="C61">
            <v>0</v>
          </cell>
        </row>
      </sheetData>
      <sheetData sheetId="3">
        <row r="4">
          <cell r="E4">
            <v>1026271.48</v>
          </cell>
          <cell r="F4">
            <v>284616.01</v>
          </cell>
          <cell r="G4">
            <v>170569.59</v>
          </cell>
          <cell r="H4">
            <v>70995.09</v>
          </cell>
          <cell r="J4">
            <v>52396.17</v>
          </cell>
        </row>
      </sheetData>
      <sheetData sheetId="4">
        <row r="8">
          <cell r="V8">
            <v>21794613.820000038</v>
          </cell>
        </row>
        <row r="9">
          <cell r="V9">
            <v>9600000</v>
          </cell>
        </row>
      </sheetData>
    </sheetDataSet>
  </externalBook>
</externalLink>
</file>

<file path=xl/externalLinks/externalLink1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/>
      <sheetData sheetId="2"/>
      <sheetData sheetId="3">
        <row r="15">
          <cell r="P15">
            <v>50074.06</v>
          </cell>
        </row>
      </sheetData>
      <sheetData sheetId="4"/>
    </sheetDataSet>
  </externalBook>
</externalLink>
</file>

<file path=xl/externalLinks/externalLink1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2175</v>
          </cell>
        </row>
      </sheetData>
      <sheetData sheetId="1"/>
      <sheetData sheetId="2"/>
      <sheetData sheetId="3">
        <row r="4">
          <cell r="C4">
            <v>38314031.089999996</v>
          </cell>
        </row>
      </sheetData>
      <sheetData sheetId="4"/>
    </sheetDataSet>
  </externalBook>
</externalLink>
</file>

<file path=xl/externalLinks/externalLink1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22">
          <cell r="C22">
            <v>40274323.990000002</v>
          </cell>
        </row>
      </sheetData>
      <sheetData sheetId="1">
        <row r="16">
          <cell r="C16">
            <v>355444.56</v>
          </cell>
        </row>
        <row r="49">
          <cell r="C49">
            <v>7104.1</v>
          </cell>
        </row>
      </sheetData>
      <sheetData sheetId="2">
        <row r="31">
          <cell r="C31">
            <v>0</v>
          </cell>
        </row>
        <row r="44">
          <cell r="C44">
            <v>220491.37000000037</v>
          </cell>
        </row>
        <row r="61">
          <cell r="C61">
            <v>0</v>
          </cell>
        </row>
      </sheetData>
      <sheetData sheetId="3">
        <row r="4">
          <cell r="E4">
            <v>1026271.48</v>
          </cell>
          <cell r="F4">
            <v>284616.01</v>
          </cell>
          <cell r="G4">
            <v>170569.59</v>
          </cell>
          <cell r="H4">
            <v>70995.09</v>
          </cell>
          <cell r="J4">
            <v>52396.17</v>
          </cell>
        </row>
      </sheetData>
      <sheetData sheetId="4">
        <row r="8">
          <cell r="V8">
            <v>21794613.820000038</v>
          </cell>
        </row>
        <row r="9">
          <cell r="V9">
            <v>9600000</v>
          </cell>
        </row>
      </sheetData>
    </sheetDataSet>
  </externalBook>
</externalLink>
</file>

<file path=xl/externalLinks/externalLink1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/>
      <sheetData sheetId="2"/>
      <sheetData sheetId="3">
        <row r="15">
          <cell r="P15">
            <v>19569.34</v>
          </cell>
        </row>
      </sheetData>
      <sheetData sheetId="4"/>
    </sheetDataSet>
  </externalBook>
</externalLink>
</file>

<file path=xl/externalLinks/externalLink1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2169</v>
          </cell>
        </row>
      </sheetData>
      <sheetData sheetId="1"/>
      <sheetData sheetId="2"/>
      <sheetData sheetId="3">
        <row r="4">
          <cell r="C4">
            <v>37988833.380000003</v>
          </cell>
        </row>
      </sheetData>
      <sheetData sheetId="4"/>
    </sheetDataSet>
  </externalBook>
</externalLink>
</file>

<file path=xl/externalLinks/externalLink1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22">
          <cell r="C22">
            <v>39919368.770000003</v>
          </cell>
        </row>
      </sheetData>
      <sheetData sheetId="1">
        <row r="16">
          <cell r="C16">
            <v>334127.35999999999</v>
          </cell>
        </row>
        <row r="49">
          <cell r="C49">
            <v>55.09</v>
          </cell>
        </row>
      </sheetData>
      <sheetData sheetId="2">
        <row r="44">
          <cell r="C44">
            <v>215750.23170000035</v>
          </cell>
        </row>
        <row r="61">
          <cell r="C61">
            <v>0</v>
          </cell>
        </row>
      </sheetData>
      <sheetData sheetId="3">
        <row r="4">
          <cell r="E4">
            <v>981893.55</v>
          </cell>
          <cell r="F4">
            <v>342643.95</v>
          </cell>
          <cell r="H4">
            <v>144557.29</v>
          </cell>
          <cell r="J4">
            <v>62942.18</v>
          </cell>
        </row>
      </sheetData>
      <sheetData sheetId="4">
        <row r="8">
          <cell r="V8">
            <v>21290580.780000035</v>
          </cell>
        </row>
        <row r="9">
          <cell r="V9">
            <v>9600000</v>
          </cell>
        </row>
      </sheetData>
    </sheetDataSet>
  </externalBook>
</externalLink>
</file>

<file path=xl/externalLinks/externalLink1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 refreshError="1"/>
      <sheetData sheetId="1" refreshError="1"/>
      <sheetData sheetId="2" refreshError="1"/>
      <sheetData sheetId="3" refreshError="1">
        <row r="4">
          <cell r="G4">
            <v>121223.42</v>
          </cell>
        </row>
      </sheetData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2033</v>
          </cell>
        </row>
        <row r="22">
          <cell r="C22">
            <v>43847454.140000001</v>
          </cell>
        </row>
      </sheetData>
      <sheetData sheetId="1">
        <row r="49">
          <cell r="C49">
            <v>74211.41</v>
          </cell>
        </row>
      </sheetData>
      <sheetData sheetId="2">
        <row r="46">
          <cell r="C46"/>
        </row>
      </sheetData>
      <sheetData sheetId="3">
        <row r="4">
          <cell r="C4">
            <v>42271041.610000007</v>
          </cell>
          <cell r="E4">
            <v>654434.78</v>
          </cell>
          <cell r="F4">
            <v>318184.07</v>
          </cell>
          <cell r="G4">
            <v>70588.98</v>
          </cell>
          <cell r="H4">
            <v>43413.84</v>
          </cell>
          <cell r="J4">
            <v>141011.63</v>
          </cell>
        </row>
      </sheetData>
      <sheetData sheetId="4">
        <row r="8">
          <cell r="V8">
            <v>35319821.61900001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1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/>
      <sheetData sheetId="2"/>
      <sheetData sheetId="3">
        <row r="15">
          <cell r="P15">
            <v>0</v>
          </cell>
        </row>
      </sheetData>
      <sheetData sheetId="4"/>
    </sheetDataSet>
  </externalBook>
</externalLink>
</file>

<file path=xl/externalLinks/externalLink1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2163</v>
          </cell>
        </row>
      </sheetData>
      <sheetData sheetId="1"/>
      <sheetData sheetId="2"/>
      <sheetData sheetId="3">
        <row r="4">
          <cell r="C4">
            <v>37423895.359999999</v>
          </cell>
        </row>
      </sheetData>
      <sheetData sheetId="4"/>
    </sheetDataSet>
  </externalBook>
</externalLink>
</file>

<file path=xl/externalLinks/externalLink1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22">
          <cell r="C22">
            <v>39919368.770000003</v>
          </cell>
        </row>
      </sheetData>
      <sheetData sheetId="1">
        <row r="16">
          <cell r="C16">
            <v>334127.35999999999</v>
          </cell>
        </row>
        <row r="49">
          <cell r="C49">
            <v>81799.86</v>
          </cell>
        </row>
      </sheetData>
      <sheetData sheetId="2">
        <row r="48">
          <cell r="C48">
            <v>2263.3182999996352</v>
          </cell>
        </row>
        <row r="61">
          <cell r="C61">
            <v>0</v>
          </cell>
        </row>
      </sheetData>
      <sheetData sheetId="3">
        <row r="4">
          <cell r="E4">
            <v>981893.55</v>
          </cell>
        </row>
      </sheetData>
      <sheetData sheetId="4"/>
    </sheetDataSet>
  </externalBook>
</externalLink>
</file>

<file path=xl/externalLinks/externalLink1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/>
      <sheetData sheetId="2">
        <row r="44">
          <cell r="C44">
            <v>212905.80780000036</v>
          </cell>
        </row>
      </sheetData>
      <sheetData sheetId="3">
        <row r="4">
          <cell r="F4">
            <v>389208.08</v>
          </cell>
          <cell r="G4">
            <v>39075.230000000003</v>
          </cell>
          <cell r="H4">
            <v>94161.35</v>
          </cell>
          <cell r="J4">
            <v>116350.82</v>
          </cell>
        </row>
      </sheetData>
      <sheetData sheetId="4">
        <row r="8">
          <cell r="V8">
            <v>20970924.200000037</v>
          </cell>
        </row>
        <row r="9">
          <cell r="V9">
            <v>9600000</v>
          </cell>
        </row>
      </sheetData>
    </sheetDataSet>
  </externalBook>
</externalLink>
</file>

<file path=xl/externalLinks/externalLink1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/>
      <sheetData sheetId="2"/>
      <sheetData sheetId="3">
        <row r="15">
          <cell r="P15">
            <v>19112.12</v>
          </cell>
        </row>
      </sheetData>
      <sheetData sheetId="4"/>
    </sheetDataSet>
  </externalBook>
</externalLink>
</file>

<file path=xl/externalLinks/externalLink1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2158</v>
          </cell>
        </row>
      </sheetData>
      <sheetData sheetId="1"/>
      <sheetData sheetId="2"/>
      <sheetData sheetId="3">
        <row r="4">
          <cell r="C4">
            <v>36497168.199999996</v>
          </cell>
        </row>
      </sheetData>
      <sheetData sheetId="4"/>
    </sheetDataSet>
  </externalBook>
</externalLink>
</file>

<file path=xl/externalLinks/externalLink1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22">
          <cell r="C22">
            <v>39659139.659999996</v>
          </cell>
        </row>
      </sheetData>
      <sheetData sheetId="1">
        <row r="16">
          <cell r="C16">
            <v>371941.16000000003</v>
          </cell>
        </row>
        <row r="49">
          <cell r="C49">
            <v>46882.96</v>
          </cell>
        </row>
      </sheetData>
      <sheetData sheetId="2">
        <row r="44">
          <cell r="C44">
            <v>212905.80780000036</v>
          </cell>
        </row>
        <row r="61">
          <cell r="C61">
            <v>0</v>
          </cell>
        </row>
      </sheetData>
      <sheetData sheetId="3">
        <row r="4">
          <cell r="E4">
            <v>1224507.6599999999</v>
          </cell>
          <cell r="F4">
            <v>389208.08</v>
          </cell>
          <cell r="G4">
            <v>39075.230000000003</v>
          </cell>
          <cell r="H4">
            <v>94161.35</v>
          </cell>
          <cell r="J4">
            <v>116350.82</v>
          </cell>
        </row>
      </sheetData>
      <sheetData sheetId="4">
        <row r="8">
          <cell r="V8">
            <v>20970924.200000037</v>
          </cell>
        </row>
        <row r="9">
          <cell r="V9">
            <v>9600000</v>
          </cell>
        </row>
      </sheetData>
    </sheetDataSet>
  </externalBook>
</externalLink>
</file>

<file path=xl/externalLinks/externalLink1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/>
      <sheetData sheetId="2"/>
      <sheetData sheetId="3">
        <row r="15">
          <cell r="P15">
            <v>23371.5</v>
          </cell>
        </row>
      </sheetData>
      <sheetData sheetId="4"/>
    </sheetDataSet>
  </externalBook>
</externalLink>
</file>

<file path=xl/externalLinks/externalLink1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2149</v>
          </cell>
        </row>
      </sheetData>
      <sheetData sheetId="1"/>
      <sheetData sheetId="2"/>
      <sheetData sheetId="3">
        <row r="4">
          <cell r="C4">
            <v>36113416.559999995</v>
          </cell>
        </row>
      </sheetData>
      <sheetData sheetId="4"/>
    </sheetDataSet>
  </externalBook>
</externalLink>
</file>

<file path=xl/externalLinks/externalLink1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22">
          <cell r="C22">
            <v>39422221.649999999</v>
          </cell>
        </row>
      </sheetData>
      <sheetData sheetId="1">
        <row r="16">
          <cell r="C16">
            <v>407497.68</v>
          </cell>
        </row>
        <row r="49">
          <cell r="C49">
            <v>39659.599999999999</v>
          </cell>
        </row>
      </sheetData>
      <sheetData sheetId="2">
        <row r="44">
          <cell r="C44">
            <v>209709.24200000032</v>
          </cell>
        </row>
        <row r="61">
          <cell r="C61">
            <v>0</v>
          </cell>
        </row>
      </sheetData>
      <sheetData sheetId="3">
        <row r="4">
          <cell r="E4">
            <v>1486836.68</v>
          </cell>
          <cell r="F4">
            <v>676322.23</v>
          </cell>
          <cell r="G4">
            <v>190489.18</v>
          </cell>
          <cell r="H4">
            <v>114180.05</v>
          </cell>
          <cell r="J4">
            <v>49727.63</v>
          </cell>
        </row>
      </sheetData>
      <sheetData sheetId="4">
        <row r="8">
          <cell r="V8">
            <v>20681504.710000034</v>
          </cell>
        </row>
        <row r="9">
          <cell r="V9">
            <v>9600000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2127</v>
          </cell>
        </row>
        <row r="22">
          <cell r="C22">
            <v>48140326.509999998</v>
          </cell>
        </row>
      </sheetData>
      <sheetData sheetId="1">
        <row r="49">
          <cell r="C49">
            <v>237373.21</v>
          </cell>
        </row>
      </sheetData>
      <sheetData sheetId="2">
        <row r="46">
          <cell r="C46">
            <v>0</v>
          </cell>
        </row>
      </sheetData>
      <sheetData sheetId="3">
        <row r="4">
          <cell r="C4">
            <v>46904121.670000002</v>
          </cell>
          <cell r="E4">
            <v>504656.88</v>
          </cell>
          <cell r="F4">
            <v>389121.02</v>
          </cell>
          <cell r="G4">
            <v>103156.96</v>
          </cell>
          <cell r="H4">
            <v>0</v>
          </cell>
          <cell r="J4">
            <v>0</v>
          </cell>
        </row>
      </sheetData>
      <sheetData sheetId="4">
        <row r="8">
          <cell r="V8">
            <v>40181716.270000011</v>
          </cell>
        </row>
        <row r="9">
          <cell r="V9">
            <v>6000000</v>
          </cell>
        </row>
        <row r="10">
          <cell r="V10">
            <v>750000</v>
          </cell>
        </row>
        <row r="87">
          <cell r="L87">
            <v>0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/>
      <sheetData sheetId="4"/>
    </sheetDataSet>
  </externalBook>
</externalLink>
</file>

<file path=xl/externalLinks/externalLink2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/>
      <sheetData sheetId="2"/>
      <sheetData sheetId="3">
        <row r="15">
          <cell r="P15">
            <v>49350.750000000007</v>
          </cell>
        </row>
      </sheetData>
      <sheetData sheetId="4"/>
    </sheetDataSet>
  </externalBook>
</externalLink>
</file>

<file path=xl/externalLinks/externalLink2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 refreshError="1">
        <row r="18">
          <cell r="C18">
            <v>2149</v>
          </cell>
        </row>
      </sheetData>
      <sheetData sheetId="1" refreshError="1"/>
      <sheetData sheetId="2" refreshError="1"/>
      <sheetData sheetId="3" refreshError="1">
        <row r="4">
          <cell r="C4">
            <v>36113416.559999995</v>
          </cell>
        </row>
      </sheetData>
      <sheetData sheetId="4" refreshError="1"/>
    </sheetDataSet>
  </externalBook>
</externalLink>
</file>

<file path=xl/externalLinks/externalLink2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22">
          <cell r="C22">
            <v>39169529.060000002</v>
          </cell>
        </row>
      </sheetData>
      <sheetData sheetId="1">
        <row r="16">
          <cell r="C16">
            <v>399394.55999999994</v>
          </cell>
        </row>
        <row r="49">
          <cell r="C49">
            <v>92233.52</v>
          </cell>
        </row>
      </sheetData>
      <sheetData sheetId="2">
        <row r="44">
          <cell r="C44">
            <v>206815.04710000035</v>
          </cell>
        </row>
        <row r="61">
          <cell r="C61">
            <v>0</v>
          </cell>
        </row>
      </sheetData>
      <sheetData sheetId="3">
        <row r="4">
          <cell r="E4">
            <v>1573847.32</v>
          </cell>
          <cell r="F4">
            <v>723015.81</v>
          </cell>
          <cell r="G4">
            <v>207938.53</v>
          </cell>
          <cell r="H4">
            <v>108921.35</v>
          </cell>
          <cell r="J4">
            <v>42994.93</v>
          </cell>
        </row>
      </sheetData>
      <sheetData sheetId="4">
        <row r="8">
          <cell r="V8">
            <v>20357373.750000034</v>
          </cell>
        </row>
        <row r="9">
          <cell r="V9">
            <v>9600000</v>
          </cell>
        </row>
      </sheetData>
    </sheetDataSet>
  </externalBook>
</externalLink>
</file>

<file path=xl/externalLinks/externalLink2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/>
      <sheetData sheetId="2"/>
      <sheetData sheetId="3">
        <row r="15">
          <cell r="P15">
            <v>11466.22</v>
          </cell>
        </row>
      </sheetData>
      <sheetData sheetId="4"/>
    </sheetDataSet>
  </externalBook>
</externalLink>
</file>

<file path=xl/externalLinks/externalLink2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 refreshError="1">
        <row r="18">
          <cell r="C18">
            <v>2144</v>
          </cell>
        </row>
      </sheetData>
      <sheetData sheetId="1" refreshError="1"/>
      <sheetData sheetId="2" refreshError="1"/>
      <sheetData sheetId="3" refreshError="1">
        <row r="4">
          <cell r="C4">
            <v>35656729.359999999</v>
          </cell>
        </row>
      </sheetData>
      <sheetData sheetId="4" refreshError="1"/>
    </sheetDataSet>
  </externalBook>
</externalLink>
</file>

<file path=xl/externalLinks/externalLink2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22">
          <cell r="C22">
            <v>38954489.880000003</v>
          </cell>
        </row>
      </sheetData>
      <sheetData sheetId="1">
        <row r="16">
          <cell r="C16">
            <v>442389.49</v>
          </cell>
        </row>
        <row r="49">
          <cell r="C49">
            <v>84074.2</v>
          </cell>
        </row>
      </sheetData>
      <sheetData sheetId="2">
        <row r="44">
          <cell r="C44">
            <v>203573.73750000034</v>
          </cell>
        </row>
        <row r="61">
          <cell r="C61">
            <v>0</v>
          </cell>
        </row>
      </sheetData>
      <sheetData sheetId="3">
        <row r="4">
          <cell r="E4">
            <v>1723242.35</v>
          </cell>
          <cell r="F4">
            <v>837104.08</v>
          </cell>
          <cell r="G4">
            <v>116833.66</v>
          </cell>
          <cell r="H4">
            <v>151448.32999999999</v>
          </cell>
          <cell r="J4">
            <v>26742.61</v>
          </cell>
        </row>
      </sheetData>
      <sheetData sheetId="4">
        <row r="8">
          <cell r="V8">
            <v>20077346.690000035</v>
          </cell>
        </row>
        <row r="9">
          <cell r="V9">
            <v>9600000</v>
          </cell>
        </row>
      </sheetData>
    </sheetDataSet>
  </externalBook>
</externalLink>
</file>

<file path=xl/externalLinks/externalLink2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/>
      <sheetData sheetId="2"/>
      <sheetData sheetId="3">
        <row r="15">
          <cell r="P15">
            <v>42994.93</v>
          </cell>
        </row>
      </sheetData>
      <sheetData sheetId="4"/>
    </sheetDataSet>
  </externalBook>
</externalLink>
</file>

<file path=xl/externalLinks/externalLink2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 refreshError="1">
        <row r="18">
          <cell r="C18">
            <v>2137</v>
          </cell>
        </row>
      </sheetData>
      <sheetData sheetId="1" refreshError="1"/>
      <sheetData sheetId="2" refreshError="1"/>
      <sheetData sheetId="3" refreshError="1">
        <row r="4">
          <cell r="C4">
            <v>35601545.990000002</v>
          </cell>
        </row>
      </sheetData>
      <sheetData sheetId="4" refreshError="1"/>
    </sheetDataSet>
  </externalBook>
</externalLink>
</file>

<file path=xl/externalLinks/externalLink2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22">
          <cell r="C22">
            <v>38710526.740000002</v>
          </cell>
        </row>
      </sheetData>
      <sheetData sheetId="1">
        <row r="16">
          <cell r="C16">
            <v>442859.98</v>
          </cell>
        </row>
        <row r="49">
          <cell r="C49">
            <v>74620.88</v>
          </cell>
        </row>
      </sheetData>
      <sheetData sheetId="2">
        <row r="44">
          <cell r="C44">
            <v>200773.46690000035</v>
          </cell>
        </row>
        <row r="61">
          <cell r="C61">
            <v>0</v>
          </cell>
        </row>
      </sheetData>
      <sheetData sheetId="3">
        <row r="4">
          <cell r="E4">
            <v>1498101.31</v>
          </cell>
          <cell r="F4">
            <v>798830.14</v>
          </cell>
          <cell r="G4">
            <v>213341.28</v>
          </cell>
          <cell r="H4">
            <v>126672.91</v>
          </cell>
          <cell r="J4">
            <v>29175.13</v>
          </cell>
        </row>
      </sheetData>
      <sheetData sheetId="4">
        <row r="8">
          <cell r="V8">
            <v>19767299.840000033</v>
          </cell>
        </row>
        <row r="9">
          <cell r="V9">
            <v>9600000</v>
          </cell>
        </row>
      </sheetData>
    </sheetDataSet>
  </externalBook>
</externalLink>
</file>

<file path=xl/externalLinks/externalLink2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 refreshError="1"/>
      <sheetData sheetId="1" refreshError="1">
        <row r="18">
          <cell r="C18">
            <v>26742.61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 refreshError="1">
        <row r="18">
          <cell r="C18">
            <v>2033</v>
          </cell>
        </row>
        <row r="22">
          <cell r="C22">
            <v>43847454.140000001</v>
          </cell>
        </row>
      </sheetData>
      <sheetData sheetId="1" refreshError="1">
        <row r="49">
          <cell r="C49">
            <v>74211.41</v>
          </cell>
        </row>
      </sheetData>
      <sheetData sheetId="2" refreshError="1">
        <row r="46">
          <cell r="C46"/>
        </row>
      </sheetData>
      <sheetData sheetId="3" refreshError="1">
        <row r="4">
          <cell r="C4">
            <v>42271041.610000007</v>
          </cell>
          <cell r="E4">
            <v>654434.78</v>
          </cell>
          <cell r="F4">
            <v>318184.07</v>
          </cell>
          <cell r="G4">
            <v>70588.98</v>
          </cell>
          <cell r="H4">
            <v>43413.84</v>
          </cell>
          <cell r="J4">
            <v>141011.63</v>
          </cell>
        </row>
      </sheetData>
      <sheetData sheetId="4" refreshError="1">
        <row r="8">
          <cell r="V8">
            <v>35319821.61900001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2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 refreshError="1">
        <row r="18">
          <cell r="C18">
            <v>2133</v>
          </cell>
        </row>
      </sheetData>
      <sheetData sheetId="1" refreshError="1"/>
      <sheetData sheetId="2" refreshError="1"/>
      <sheetData sheetId="3" refreshError="1">
        <row r="4">
          <cell r="C4">
            <v>35476274.359999999</v>
          </cell>
        </row>
      </sheetData>
      <sheetData sheetId="4" refreshError="1"/>
    </sheetDataSet>
  </externalBook>
</externalLink>
</file>

<file path=xl/externalLinks/externalLink2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22">
          <cell r="C22">
            <v>38497423.600000001</v>
          </cell>
        </row>
      </sheetData>
      <sheetData sheetId="1">
        <row r="16">
          <cell r="C16">
            <v>436351.47</v>
          </cell>
        </row>
        <row r="49">
          <cell r="C49">
            <v>81906.039999999994</v>
          </cell>
        </row>
      </sheetData>
      <sheetData sheetId="2">
        <row r="44">
          <cell r="C44">
            <v>197672.99840000039</v>
          </cell>
        </row>
        <row r="61">
          <cell r="C61">
            <v>0</v>
          </cell>
        </row>
      </sheetData>
      <sheetData sheetId="3">
        <row r="4">
          <cell r="E4">
            <v>1471488.02</v>
          </cell>
          <cell r="F4">
            <v>672543.33</v>
          </cell>
          <cell r="G4">
            <v>238070.27</v>
          </cell>
          <cell r="H4">
            <v>125407.99</v>
          </cell>
          <cell r="J4">
            <v>41604.519999999997</v>
          </cell>
        </row>
      </sheetData>
      <sheetData sheetId="4">
        <row r="8">
          <cell r="V8">
            <v>19484619.170000035</v>
          </cell>
        </row>
        <row r="9">
          <cell r="V9">
            <v>9600000</v>
          </cell>
        </row>
      </sheetData>
    </sheetDataSet>
  </externalBook>
</externalLink>
</file>

<file path=xl/externalLinks/externalLink2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 refreshError="1"/>
      <sheetData sheetId="1" refreshError="1">
        <row r="18">
          <cell r="C18">
            <v>35683.64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18">
          <cell r="C18">
            <v>2127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22">
          <cell r="C22">
            <v>38321283.960000001</v>
          </cell>
        </row>
      </sheetData>
      <sheetData sheetId="1">
        <row r="16">
          <cell r="C16">
            <v>472035.11</v>
          </cell>
        </row>
        <row r="49">
          <cell r="C49">
            <v>45063.59</v>
          </cell>
        </row>
      </sheetData>
      <sheetData sheetId="2">
        <row r="44">
          <cell r="C44">
            <v>194846.19170000035</v>
          </cell>
        </row>
        <row r="61">
          <cell r="C61">
            <v>0</v>
          </cell>
        </row>
      </sheetData>
      <sheetData sheetId="3">
        <row r="4">
          <cell r="E4">
            <v>1387629.42</v>
          </cell>
          <cell r="F4">
            <v>682582.7</v>
          </cell>
          <cell r="G4">
            <v>273632.71999999997</v>
          </cell>
          <cell r="H4">
            <v>126823.71</v>
          </cell>
          <cell r="J4">
            <v>26729.88</v>
          </cell>
        </row>
      </sheetData>
      <sheetData sheetId="4">
        <row r="8">
          <cell r="V8">
            <v>19252232.350000035</v>
          </cell>
        </row>
        <row r="9">
          <cell r="V9">
            <v>9600000</v>
          </cell>
        </row>
      </sheetData>
      <sheetData sheetId="5"/>
    </sheetDataSet>
  </externalBook>
</externalLink>
</file>

<file path=xl/externalLinks/externalLink2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18">
          <cell r="C18">
            <v>2121</v>
          </cell>
        </row>
      </sheetData>
      <sheetData sheetId="1"/>
      <sheetData sheetId="2"/>
      <sheetData sheetId="3">
        <row r="4">
          <cell r="C4">
            <v>35322842.810000002</v>
          </cell>
        </row>
      </sheetData>
      <sheetData sheetId="4"/>
      <sheetData sheetId="5"/>
    </sheetDataSet>
  </externalBook>
</externalLink>
</file>

<file path=xl/externalLinks/externalLink2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 refreshError="1"/>
      <sheetData sheetId="1" refreshError="1">
        <row r="18">
          <cell r="C18">
            <v>29007.61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18">
          <cell r="C18">
            <v>2121</v>
          </cell>
        </row>
      </sheetData>
      <sheetData sheetId="1"/>
      <sheetData sheetId="2"/>
      <sheetData sheetId="3">
        <row r="4">
          <cell r="C4">
            <v>35347352</v>
          </cell>
        </row>
      </sheetData>
      <sheetData sheetId="4"/>
      <sheetData sheetId="5"/>
    </sheetDataSet>
  </externalBook>
</externalLink>
</file>

<file path=xl/externalLinks/externalLink2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22">
          <cell r="C22">
            <v>38072232.789999999</v>
          </cell>
        </row>
      </sheetData>
      <sheetData sheetId="1">
        <row r="16">
          <cell r="C16">
            <v>501042.72000000003</v>
          </cell>
        </row>
        <row r="49">
          <cell r="C49">
            <v>61104.22</v>
          </cell>
        </row>
      </sheetData>
      <sheetData sheetId="2">
        <row r="44">
          <cell r="C44">
            <v>192522.32350000035</v>
          </cell>
        </row>
        <row r="61">
          <cell r="C61">
            <v>52222.96</v>
          </cell>
        </row>
      </sheetData>
      <sheetData sheetId="3">
        <row r="4">
          <cell r="E4">
            <v>1139315.95</v>
          </cell>
          <cell r="F4">
            <v>701662.12</v>
          </cell>
          <cell r="G4">
            <v>273872.28999999998</v>
          </cell>
          <cell r="H4">
            <v>94854.74</v>
          </cell>
          <cell r="J4">
            <v>0</v>
          </cell>
        </row>
      </sheetData>
      <sheetData sheetId="4">
        <row r="6">
          <cell r="V6">
            <v>18863926.330000035</v>
          </cell>
        </row>
        <row r="7">
          <cell r="V7">
            <v>9600000</v>
          </cell>
        </row>
      </sheetData>
      <sheetData sheetId="5"/>
    </sheetDataSet>
  </externalBook>
</externalLink>
</file>

<file path=xl/externalLinks/externalLink2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 refreshError="1"/>
      <sheetData sheetId="1" refreshError="1">
        <row r="18">
          <cell r="C18">
            <v>14132.97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>
        <row r="18">
          <cell r="C18">
            <v>19627.22</v>
          </cell>
        </row>
      </sheetData>
      <sheetData sheetId="2"/>
      <sheetData sheetId="3"/>
      <sheetData sheetId="4"/>
    </sheetDataSet>
  </externalBook>
</externalLink>
</file>

<file path=xl/externalLinks/externalLink2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22">
          <cell r="C22">
            <v>37827920.780000001</v>
          </cell>
        </row>
      </sheetData>
      <sheetData sheetId="1">
        <row r="16">
          <cell r="C16">
            <v>493907.92999999993</v>
          </cell>
        </row>
        <row r="49">
          <cell r="C49">
            <v>88923.51</v>
          </cell>
        </row>
      </sheetData>
      <sheetData sheetId="2">
        <row r="44">
          <cell r="C44">
            <v>188639.26330000037</v>
          </cell>
        </row>
        <row r="61">
          <cell r="C61">
            <v>0</v>
          </cell>
        </row>
      </sheetData>
      <sheetData sheetId="3">
        <row r="4">
          <cell r="E4">
            <v>1036761.11</v>
          </cell>
          <cell r="F4">
            <v>607337.12</v>
          </cell>
          <cell r="G4">
            <v>210256.97</v>
          </cell>
          <cell r="H4">
            <v>124846.11</v>
          </cell>
          <cell r="J4">
            <v>39525.949999999997</v>
          </cell>
        </row>
      </sheetData>
      <sheetData sheetId="4">
        <row r="6">
          <cell r="V6">
            <v>18545141.610000037</v>
          </cell>
        </row>
        <row r="7">
          <cell r="V7">
            <v>9600000</v>
          </cell>
        </row>
      </sheetData>
      <sheetData sheetId="5"/>
    </sheetDataSet>
  </externalBook>
</externalLink>
</file>

<file path=xl/externalLinks/externalLink2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18">
          <cell r="C18">
            <v>2108</v>
          </cell>
        </row>
      </sheetData>
      <sheetData sheetId="1"/>
      <sheetData sheetId="2"/>
      <sheetData sheetId="3">
        <row r="4">
          <cell r="C4">
            <v>35315285.590000004</v>
          </cell>
        </row>
      </sheetData>
      <sheetData sheetId="4"/>
      <sheetData sheetId="5"/>
    </sheetDataSet>
  </externalBook>
</externalLink>
</file>

<file path=xl/externalLinks/externalLink2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 refreshError="1"/>
      <sheetData sheetId="1" refreshError="1">
        <row r="18">
          <cell r="C18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22">
          <cell r="C22">
            <v>37601966.810000002</v>
          </cell>
        </row>
      </sheetData>
      <sheetData sheetId="1">
        <row r="16">
          <cell r="C16">
            <v>493907.93000000005</v>
          </cell>
        </row>
        <row r="49">
          <cell r="C49">
            <v>73759.929999999993</v>
          </cell>
        </row>
      </sheetData>
      <sheetData sheetId="2">
        <row r="44">
          <cell r="C44">
            <v>185451.41610000038</v>
          </cell>
        </row>
        <row r="61">
          <cell r="C61">
            <v>0</v>
          </cell>
        </row>
      </sheetData>
      <sheetData sheetId="3">
        <row r="4">
          <cell r="E4">
            <v>1105573.8799999999</v>
          </cell>
          <cell r="F4">
            <v>581723.87</v>
          </cell>
          <cell r="G4">
            <v>150329.54</v>
          </cell>
          <cell r="H4">
            <v>102785.14</v>
          </cell>
          <cell r="J4">
            <v>46034.46</v>
          </cell>
        </row>
      </sheetData>
      <sheetData sheetId="4">
        <row r="6">
          <cell r="V6">
            <v>18251382.880000036</v>
          </cell>
        </row>
        <row r="7">
          <cell r="V7">
            <v>9600000</v>
          </cell>
        </row>
      </sheetData>
      <sheetData sheetId="5"/>
    </sheetDataSet>
  </externalBook>
</externalLink>
</file>

<file path=xl/externalLinks/externalLink2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18">
          <cell r="C18">
            <v>2101</v>
          </cell>
        </row>
      </sheetData>
      <sheetData sheetId="1"/>
      <sheetData sheetId="2"/>
      <sheetData sheetId="3">
        <row r="4">
          <cell r="C4">
            <v>35121611.990000002</v>
          </cell>
        </row>
      </sheetData>
      <sheetData sheetId="4"/>
      <sheetData sheetId="5"/>
    </sheetDataSet>
  </externalBook>
</externalLink>
</file>

<file path=xl/externalLinks/externalLink2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 refreshError="1"/>
      <sheetData sheetId="1" refreshError="1">
        <row r="18">
          <cell r="C18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22">
          <cell r="C22">
            <v>37396956.329999998</v>
          </cell>
        </row>
      </sheetData>
      <sheetData sheetId="1">
        <row r="16">
          <cell r="C16">
            <v>480449.03</v>
          </cell>
        </row>
        <row r="49">
          <cell r="C49">
            <v>71416.320000000007</v>
          </cell>
        </row>
      </sheetData>
      <sheetData sheetId="2">
        <row r="44">
          <cell r="C44">
            <v>182513.82880000037</v>
          </cell>
        </row>
        <row r="61">
          <cell r="C61">
            <v>0</v>
          </cell>
        </row>
      </sheetData>
      <sheetData sheetId="3">
        <row r="4">
          <cell r="E4">
            <v>1116683.22</v>
          </cell>
          <cell r="F4">
            <v>525157.81999999995</v>
          </cell>
          <cell r="G4">
            <v>139477.35999999999</v>
          </cell>
          <cell r="H4">
            <v>109421.6</v>
          </cell>
          <cell r="J4">
            <v>0</v>
          </cell>
        </row>
      </sheetData>
      <sheetData sheetId="4">
        <row r="6">
          <cell r="V6">
            <v>17972432.150000036</v>
          </cell>
        </row>
        <row r="7">
          <cell r="V7">
            <v>9600000</v>
          </cell>
        </row>
      </sheetData>
      <sheetData sheetId="5"/>
    </sheetDataSet>
  </externalBook>
</externalLink>
</file>

<file path=xl/externalLinks/externalLink2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18">
          <cell r="C18">
            <v>2094</v>
          </cell>
        </row>
      </sheetData>
      <sheetData sheetId="1"/>
      <sheetData sheetId="2"/>
      <sheetData sheetId="3">
        <row r="4">
          <cell r="C4">
            <v>34978555.079999998</v>
          </cell>
        </row>
      </sheetData>
      <sheetData sheetId="4"/>
      <sheetData sheetId="5"/>
    </sheetDataSet>
  </externalBook>
</externalLink>
</file>

<file path=xl/externalLinks/externalLink2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 refreshError="1"/>
      <sheetData sheetId="1" refreshError="1">
        <row r="18">
          <cell r="C18">
            <v>47212.22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18">
          <cell r="C18">
            <v>2094</v>
          </cell>
        </row>
      </sheetData>
      <sheetData sheetId="1"/>
      <sheetData sheetId="2"/>
      <sheetData sheetId="3">
        <row r="4">
          <cell r="C4">
            <v>33651377.5</v>
          </cell>
        </row>
      </sheetData>
      <sheetData sheetId="4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2026</v>
          </cell>
        </row>
        <row r="22">
          <cell r="C22">
            <v>43491313.340000004</v>
          </cell>
        </row>
      </sheetData>
      <sheetData sheetId="1">
        <row r="49">
          <cell r="C49">
            <v>144.31</v>
          </cell>
        </row>
      </sheetData>
      <sheetData sheetId="2">
        <row r="46">
          <cell r="C46"/>
        </row>
      </sheetData>
      <sheetData sheetId="3">
        <row r="4">
          <cell r="C4">
            <v>41018730.990000002</v>
          </cell>
          <cell r="E4">
            <v>1123888.8899999999</v>
          </cell>
          <cell r="F4">
            <v>546951.88</v>
          </cell>
          <cell r="G4">
            <v>185237.47</v>
          </cell>
          <cell r="H4">
            <v>54035.64</v>
          </cell>
          <cell r="J4">
            <v>84517.62</v>
          </cell>
        </row>
      </sheetData>
      <sheetData sheetId="4">
        <row r="8">
          <cell r="V8">
            <v>35059794.669000015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2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22">
          <cell r="C22">
            <v>37208717.219999999</v>
          </cell>
        </row>
      </sheetData>
      <sheetData sheetId="1">
        <row r="16">
          <cell r="C16">
            <v>464544.94999999995</v>
          </cell>
        </row>
        <row r="49">
          <cell r="C49">
            <v>73560.98</v>
          </cell>
        </row>
      </sheetData>
      <sheetData sheetId="2">
        <row r="44">
          <cell r="C44">
            <v>179724.32150000037</v>
          </cell>
        </row>
        <row r="61">
          <cell r="C61">
            <v>0</v>
          </cell>
        </row>
      </sheetData>
      <sheetData sheetId="3">
        <row r="4">
          <cell r="E4">
            <v>1508497.67</v>
          </cell>
          <cell r="F4">
            <v>606969.63</v>
          </cell>
          <cell r="G4">
            <v>404292.1</v>
          </cell>
          <cell r="H4">
            <v>128334.84</v>
          </cell>
          <cell r="J4">
            <v>60184.14</v>
          </cell>
        </row>
      </sheetData>
      <sheetData sheetId="4">
        <row r="6">
          <cell r="V6">
            <v>17745122.540000036</v>
          </cell>
        </row>
        <row r="7">
          <cell r="V7">
            <v>9600000</v>
          </cell>
        </row>
      </sheetData>
      <sheetData sheetId="5"/>
    </sheetDataSet>
  </externalBook>
</externalLink>
</file>

<file path=xl/externalLinks/externalLink2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/>
      <sheetData sheetId="1"/>
      <sheetData sheetId="2"/>
      <sheetData sheetId="3">
        <row r="15">
          <cell r="P15">
            <v>0</v>
          </cell>
        </row>
      </sheetData>
      <sheetData sheetId="4"/>
      <sheetData sheetId="5"/>
    </sheetDataSet>
  </externalBook>
</externalLink>
</file>

<file path=xl/externalLinks/externalLink2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18">
          <cell r="C18">
            <v>2077</v>
          </cell>
        </row>
      </sheetData>
      <sheetData sheetId="1"/>
      <sheetData sheetId="2"/>
      <sheetData sheetId="3">
        <row r="4">
          <cell r="C4">
            <v>33155595.880000003</v>
          </cell>
        </row>
      </sheetData>
      <sheetData sheetId="4"/>
      <sheetData sheetId="5"/>
    </sheetDataSet>
  </externalBook>
</externalLink>
</file>

<file path=xl/externalLinks/externalLink2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22">
          <cell r="C22">
            <v>36934872.149999999</v>
          </cell>
        </row>
      </sheetData>
      <sheetData sheetId="1">
        <row r="49">
          <cell r="C49">
            <v>138020.1</v>
          </cell>
        </row>
      </sheetData>
      <sheetData sheetId="2">
        <row r="44">
          <cell r="C44">
            <v>177451.22540000037</v>
          </cell>
        </row>
        <row r="61">
          <cell r="C61">
            <v>0</v>
          </cell>
        </row>
      </sheetData>
      <sheetData sheetId="3">
        <row r="4">
          <cell r="E4">
            <v>1571317.67</v>
          </cell>
          <cell r="F4">
            <v>739018.85</v>
          </cell>
          <cell r="G4">
            <v>298239.62</v>
          </cell>
          <cell r="H4">
            <v>172035.33</v>
          </cell>
          <cell r="J4">
            <v>54563.360000000001</v>
          </cell>
        </row>
      </sheetData>
      <sheetData sheetId="4">
        <row r="6">
          <cell r="V6">
            <v>17415160.770000037</v>
          </cell>
        </row>
        <row r="7">
          <cell r="V7">
            <v>9600000</v>
          </cell>
        </row>
      </sheetData>
      <sheetData sheetId="5"/>
    </sheetDataSet>
  </externalBook>
</externalLink>
</file>

<file path=xl/externalLinks/externalLink2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/>
      <sheetData sheetId="1"/>
      <sheetData sheetId="2"/>
      <sheetData sheetId="3">
        <row r="15">
          <cell r="P15">
            <v>0</v>
          </cell>
        </row>
      </sheetData>
      <sheetData sheetId="4"/>
      <sheetData sheetId="5"/>
    </sheetDataSet>
  </externalBook>
</externalLink>
</file>

<file path=xl/externalLinks/externalLink2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18">
          <cell r="C18">
            <v>2062</v>
          </cell>
        </row>
      </sheetData>
      <sheetData sheetId="1"/>
      <sheetData sheetId="2"/>
      <sheetData sheetId="3">
        <row r="4">
          <cell r="C4">
            <v>32907280.030000001</v>
          </cell>
        </row>
      </sheetData>
      <sheetData sheetId="4"/>
      <sheetData sheetId="5"/>
    </sheetDataSet>
  </externalBook>
</externalLink>
</file>

<file path=xl/externalLinks/externalLink2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 refreshError="1">
        <row r="22">
          <cell r="C22">
            <v>36671784.590000004</v>
          </cell>
        </row>
      </sheetData>
      <sheetData sheetId="1" refreshError="1">
        <row r="49">
          <cell r="C49">
            <v>136310.17000000001</v>
          </cell>
        </row>
      </sheetData>
      <sheetData sheetId="2" refreshError="1">
        <row r="44">
          <cell r="C44">
            <v>174151.60770000037</v>
          </cell>
        </row>
        <row r="61">
          <cell r="C61">
            <v>0</v>
          </cell>
        </row>
      </sheetData>
      <sheetData sheetId="3" refreshError="1">
        <row r="4">
          <cell r="E4">
            <v>1484810.41</v>
          </cell>
          <cell r="F4">
            <v>992359.56</v>
          </cell>
          <cell r="G4">
            <v>290541.82</v>
          </cell>
          <cell r="H4">
            <v>184330.74</v>
          </cell>
          <cell r="J4">
            <v>86820.55</v>
          </cell>
        </row>
      </sheetData>
      <sheetData sheetId="4" refreshError="1">
        <row r="6">
          <cell r="V6">
            <v>17058617.020000037</v>
          </cell>
        </row>
        <row r="7">
          <cell r="V7">
            <v>9600000</v>
          </cell>
        </row>
      </sheetData>
      <sheetData sheetId="5" refreshError="1"/>
    </sheetDataSet>
  </externalBook>
</externalLink>
</file>

<file path=xl/externalLinks/externalLink2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/>
      <sheetData sheetId="1"/>
      <sheetData sheetId="2"/>
      <sheetData sheetId="3">
        <row r="15">
          <cell r="P15">
            <v>0</v>
          </cell>
        </row>
      </sheetData>
      <sheetData sheetId="4"/>
      <sheetData sheetId="5"/>
    </sheetDataSet>
  </externalBook>
</externalLink>
</file>

<file path=xl/externalLinks/externalLink2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22">
          <cell r="C22">
            <v>36297557.979999997</v>
          </cell>
        </row>
      </sheetData>
      <sheetData sheetId="1">
        <row r="49">
          <cell r="C49">
            <v>27645.59</v>
          </cell>
        </row>
      </sheetData>
      <sheetData sheetId="2">
        <row r="44">
          <cell r="C44">
            <v>167859.59500000038</v>
          </cell>
        </row>
        <row r="61">
          <cell r="C61">
            <v>0</v>
          </cell>
        </row>
      </sheetData>
      <sheetData sheetId="3">
        <row r="4">
          <cell r="E4">
            <v>1302573.17</v>
          </cell>
          <cell r="F4">
            <v>979028.91</v>
          </cell>
          <cell r="G4">
            <v>546470.31999999995</v>
          </cell>
          <cell r="H4">
            <v>239117.5</v>
          </cell>
          <cell r="J4">
            <v>157995.93</v>
          </cell>
        </row>
      </sheetData>
      <sheetData sheetId="4">
        <row r="6">
          <cell r="V6">
            <v>16592906.690000037</v>
          </cell>
        </row>
        <row r="7">
          <cell r="V7">
            <v>9600000</v>
          </cell>
        </row>
      </sheetData>
      <sheetData sheetId="5"/>
    </sheetDataSet>
  </externalBook>
</externalLink>
</file>

<file path=xl/externalLinks/externalLink2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/>
      <sheetData sheetId="1"/>
      <sheetData sheetId="2"/>
      <sheetData sheetId="3">
        <row r="4">
          <cell r="C4">
            <v>32637842.539999999</v>
          </cell>
        </row>
      </sheetData>
      <sheetData sheetId="4"/>
      <sheetData sheetId="5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>
        <row r="18">
          <cell r="C18">
            <v>60803.630000000005</v>
          </cell>
        </row>
      </sheetData>
      <sheetData sheetId="2"/>
      <sheetData sheetId="3"/>
      <sheetData sheetId="4"/>
    </sheetDataSet>
  </externalBook>
</externalLink>
</file>

<file path=xl/externalLinks/externalLink2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/>
      <sheetData sheetId="1"/>
      <sheetData sheetId="2"/>
      <sheetData sheetId="3">
        <row r="15">
          <cell r="P15">
            <v>13858.58</v>
          </cell>
        </row>
      </sheetData>
      <sheetData sheetId="4"/>
      <sheetData sheetId="5"/>
    </sheetDataSet>
  </externalBook>
</externalLink>
</file>

<file path=xl/externalLinks/externalLink2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 refreshError="1">
        <row r="22">
          <cell r="C22">
            <v>36297557.979999997</v>
          </cell>
        </row>
      </sheetData>
      <sheetData sheetId="1" refreshError="1">
        <row r="49">
          <cell r="C49">
            <v>27645.59</v>
          </cell>
        </row>
      </sheetData>
      <sheetData sheetId="2" refreshError="1">
        <row r="44">
          <cell r="C44">
            <v>167859.59500000038</v>
          </cell>
        </row>
        <row r="61">
          <cell r="C61">
            <v>0</v>
          </cell>
        </row>
      </sheetData>
      <sheetData sheetId="3" refreshError="1">
        <row r="4">
          <cell r="E4">
            <v>1302573.17</v>
          </cell>
          <cell r="F4">
            <v>979028.91</v>
          </cell>
          <cell r="G4">
            <v>546470.31999999995</v>
          </cell>
          <cell r="H4">
            <v>239117.5</v>
          </cell>
          <cell r="J4">
            <v>157995.93</v>
          </cell>
        </row>
      </sheetData>
      <sheetData sheetId="4" refreshError="1">
        <row r="6">
          <cell r="V6">
            <v>16592906.690000037</v>
          </cell>
        </row>
        <row r="7">
          <cell r="V7">
            <v>9600000</v>
          </cell>
        </row>
      </sheetData>
      <sheetData sheetId="5" refreshError="1"/>
    </sheetDataSet>
  </externalBook>
</externalLink>
</file>

<file path=xl/externalLinks/externalLink2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 refreshError="1"/>
      <sheetData sheetId="1" refreshError="1"/>
      <sheetData sheetId="2" refreshError="1"/>
      <sheetData sheetId="3" refreshError="1">
        <row r="4">
          <cell r="C4">
            <v>32637842.539999999</v>
          </cell>
        </row>
      </sheetData>
      <sheetData sheetId="4" refreshError="1"/>
      <sheetData sheetId="5" refreshError="1"/>
    </sheetDataSet>
  </externalBook>
</externalLink>
</file>

<file path=xl/externalLinks/externalLink2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s 7-10"/>
      <sheetName val="Part 1"/>
      <sheetName val="Parts 2 - 3"/>
      <sheetName val="Parts 4 - 6 "/>
      <sheetName val="Part 11"/>
      <sheetName val="Deemed Default"/>
    </sheetNames>
    <sheetDataSet>
      <sheetData sheetId="0">
        <row r="15">
          <cell r="P15">
            <v>61140.78</v>
          </cell>
        </row>
      </sheetData>
      <sheetData sheetId="1"/>
      <sheetData sheetId="2"/>
      <sheetData sheetId="3">
        <row r="29">
          <cell r="C29">
            <v>1043365.03</v>
          </cell>
        </row>
      </sheetData>
      <sheetData sheetId="4"/>
      <sheetData sheetId="5"/>
    </sheetDataSet>
  </externalBook>
</externalLink>
</file>

<file path=xl/externalLinks/externalLink2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18">
          <cell r="C18">
            <v>2062</v>
          </cell>
        </row>
        <row r="22">
          <cell r="C22">
            <v>36008195.770000003</v>
          </cell>
        </row>
      </sheetData>
      <sheetData sheetId="1">
        <row r="49">
          <cell r="C49">
            <v>116035.08</v>
          </cell>
        </row>
      </sheetData>
      <sheetData sheetId="2">
        <row r="44">
          <cell r="C44">
            <v>165929.06690000038</v>
          </cell>
        </row>
        <row r="61">
          <cell r="C61">
            <v>0</v>
          </cell>
        </row>
      </sheetData>
      <sheetData sheetId="3">
        <row r="4">
          <cell r="C4">
            <v>32391798.75</v>
          </cell>
          <cell r="E4">
            <v>1207455.22</v>
          </cell>
          <cell r="F4">
            <v>1124985.32</v>
          </cell>
          <cell r="G4">
            <v>437628.64</v>
          </cell>
          <cell r="H4">
            <v>270800.81</v>
          </cell>
          <cell r="J4">
            <v>156304.09</v>
          </cell>
        </row>
        <row r="15">
          <cell r="P15">
            <v>20560.45</v>
          </cell>
        </row>
      </sheetData>
      <sheetData sheetId="4">
        <row r="6">
          <cell r="V6">
            <v>16258764.490000037</v>
          </cell>
        </row>
        <row r="7">
          <cell r="V7">
            <v>9600000</v>
          </cell>
        </row>
      </sheetData>
      <sheetData sheetId="5"/>
    </sheetDataSet>
  </externalBook>
</externalLink>
</file>

<file path=xl/externalLinks/externalLink2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18">
          <cell r="C18">
            <v>2057</v>
          </cell>
        </row>
        <row r="22">
          <cell r="C22">
            <v>35796967.329999998</v>
          </cell>
        </row>
      </sheetData>
      <sheetData sheetId="1">
        <row r="49">
          <cell r="C49">
            <v>88523.17</v>
          </cell>
        </row>
      </sheetData>
      <sheetData sheetId="2">
        <row r="44">
          <cell r="C44">
            <v>162587.64000000001</v>
          </cell>
        </row>
        <row r="61">
          <cell r="C61">
            <v>0</v>
          </cell>
        </row>
      </sheetData>
      <sheetData sheetId="3">
        <row r="4">
          <cell r="C4">
            <v>31948786.539999999</v>
          </cell>
          <cell r="E4">
            <v>1474854.54</v>
          </cell>
          <cell r="F4">
            <v>912708.79</v>
          </cell>
          <cell r="G4">
            <v>543278.53</v>
          </cell>
          <cell r="H4">
            <v>197353.89</v>
          </cell>
          <cell r="J4">
            <v>208699.66</v>
          </cell>
        </row>
        <row r="15">
          <cell r="P15">
            <v>75410.179999999993</v>
          </cell>
        </row>
      </sheetData>
      <sheetData sheetId="4">
        <row r="6">
          <cell r="V6">
            <v>15983068.180000035</v>
          </cell>
        </row>
        <row r="7">
          <cell r="V7">
            <v>9600000</v>
          </cell>
        </row>
      </sheetData>
      <sheetData sheetId="5"/>
    </sheetDataSet>
  </externalBook>
</externalLink>
</file>

<file path=xl/externalLinks/externalLink2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18">
          <cell r="C18">
            <v>2053</v>
          </cell>
        </row>
        <row r="22">
          <cell r="C22">
            <v>35598818.850000001</v>
          </cell>
        </row>
      </sheetData>
      <sheetData sheetId="1">
        <row r="49">
          <cell r="C49">
            <v>81782.41</v>
          </cell>
        </row>
      </sheetData>
      <sheetData sheetId="2">
        <row r="44">
          <cell r="C44">
            <v>159830.68180000037</v>
          </cell>
        </row>
        <row r="61">
          <cell r="C61">
            <v>0</v>
          </cell>
        </row>
      </sheetData>
      <sheetData sheetId="3">
        <row r="4">
          <cell r="C4">
            <v>31724766.110000003</v>
          </cell>
          <cell r="E4">
            <v>1389375.29</v>
          </cell>
          <cell r="F4">
            <v>1022532.82</v>
          </cell>
          <cell r="G4">
            <v>477372.56</v>
          </cell>
          <cell r="H4">
            <v>272925.57</v>
          </cell>
          <cell r="J4">
            <v>95004.93</v>
          </cell>
        </row>
        <row r="15">
          <cell r="P15">
            <v>105696.82</v>
          </cell>
        </row>
      </sheetData>
      <sheetData sheetId="4">
        <row r="6">
          <cell r="V6">
            <v>15709518.510000037</v>
          </cell>
        </row>
        <row r="7">
          <cell r="V7">
            <v>9600000</v>
          </cell>
        </row>
      </sheetData>
      <sheetData sheetId="5"/>
    </sheetDataSet>
  </externalBook>
</externalLink>
</file>

<file path=xl/externalLinks/externalLink2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s 4 - 6 "/>
      <sheetName val="Parts 7-10"/>
      <sheetName val="Part 11"/>
      <sheetName val="Part 1"/>
      <sheetName val="Parts 2 - 3"/>
      <sheetName val="Deemed Default"/>
    </sheetNames>
    <sheetDataSet>
      <sheetData sheetId="0">
        <row r="44">
          <cell r="C44">
            <v>157095.19</v>
          </cell>
        </row>
        <row r="61">
          <cell r="C61">
            <v>0</v>
          </cell>
        </row>
      </sheetData>
      <sheetData sheetId="1">
        <row r="4">
          <cell r="C4">
            <v>31650789.120000001</v>
          </cell>
          <cell r="E4">
            <v>1303068.02</v>
          </cell>
          <cell r="F4">
            <v>1141885.45</v>
          </cell>
          <cell r="G4">
            <v>335424.43</v>
          </cell>
          <cell r="H4">
            <v>257074.36</v>
          </cell>
          <cell r="J4">
            <v>152181.03</v>
          </cell>
        </row>
        <row r="15">
          <cell r="P15">
            <v>37741.799999999996</v>
          </cell>
        </row>
      </sheetData>
      <sheetData sheetId="2">
        <row r="6">
          <cell r="V6">
            <v>15465689.860000037</v>
          </cell>
        </row>
        <row r="7">
          <cell r="V7">
            <v>9600000</v>
          </cell>
        </row>
      </sheetData>
      <sheetData sheetId="3">
        <row r="18">
          <cell r="C18">
            <v>2048</v>
          </cell>
        </row>
        <row r="22">
          <cell r="C22">
            <v>35403023.490000002</v>
          </cell>
        </row>
      </sheetData>
      <sheetData sheetId="4">
        <row r="49">
          <cell r="C49">
            <v>71316.11</v>
          </cell>
        </row>
      </sheetData>
      <sheetData sheetId="5"/>
    </sheetDataSet>
  </externalBook>
</externalLink>
</file>

<file path=xl/externalLinks/externalLink2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18">
          <cell r="C18">
            <v>2041</v>
          </cell>
        </row>
        <row r="22">
          <cell r="C22">
            <v>35161368.520000003</v>
          </cell>
        </row>
      </sheetData>
      <sheetData sheetId="1">
        <row r="49">
          <cell r="C49">
            <v>132559.22</v>
          </cell>
        </row>
      </sheetData>
      <sheetData sheetId="2">
        <row r="44">
          <cell r="C44">
            <v>154656.89860000036</v>
          </cell>
        </row>
        <row r="61">
          <cell r="C61">
            <v>0</v>
          </cell>
        </row>
      </sheetData>
      <sheetData sheetId="3">
        <row r="4">
          <cell r="C4">
            <v>31047079.080000002</v>
          </cell>
          <cell r="E4">
            <v>1715741.78</v>
          </cell>
          <cell r="F4">
            <v>896949</v>
          </cell>
          <cell r="G4">
            <v>553818.39</v>
          </cell>
          <cell r="H4">
            <v>171180.67</v>
          </cell>
          <cell r="J4">
            <v>219704.98</v>
          </cell>
        </row>
        <row r="15">
          <cell r="P15">
            <v>40048.68</v>
          </cell>
        </row>
      </sheetData>
      <sheetData sheetId="4">
        <row r="6">
          <cell r="V6">
            <v>15167847.960000036</v>
          </cell>
        </row>
        <row r="7">
          <cell r="V7">
            <v>9600000</v>
          </cell>
        </row>
      </sheetData>
      <sheetData sheetId="5"/>
    </sheetDataSet>
  </externalBook>
</externalLink>
</file>

<file path=xl/externalLinks/externalLink2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18">
          <cell r="C18">
            <v>2035</v>
          </cell>
        </row>
        <row r="22">
          <cell r="C22">
            <v>34969133.740000002</v>
          </cell>
        </row>
      </sheetData>
      <sheetData sheetId="1">
        <row r="49">
          <cell r="C49">
            <v>64405.77</v>
          </cell>
        </row>
      </sheetData>
      <sheetData sheetId="2">
        <row r="44">
          <cell r="C44">
            <v>151678.47960000037</v>
          </cell>
        </row>
        <row r="61">
          <cell r="C61">
            <v>0</v>
          </cell>
        </row>
      </sheetData>
      <sheetData sheetId="3">
        <row r="4">
          <cell r="C4">
            <v>30908869.930000003</v>
          </cell>
          <cell r="E4">
            <v>1606802.7</v>
          </cell>
          <cell r="F4">
            <v>997471.9</v>
          </cell>
          <cell r="G4">
            <v>458154.16</v>
          </cell>
          <cell r="H4">
            <v>294039.7</v>
          </cell>
          <cell r="J4">
            <v>120334.56</v>
          </cell>
        </row>
        <row r="15">
          <cell r="P15">
            <v>68077.72</v>
          </cell>
        </row>
      </sheetData>
      <sheetData sheetId="4">
        <row r="6">
          <cell r="V6">
            <v>14883690.610000037</v>
          </cell>
        </row>
        <row r="7">
          <cell r="V7">
            <v>9600000</v>
          </cell>
        </row>
      </sheetData>
      <sheetData sheetId="5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2022</v>
          </cell>
        </row>
        <row r="22">
          <cell r="C22">
            <v>43318164.649999999</v>
          </cell>
        </row>
      </sheetData>
      <sheetData sheetId="1">
        <row r="49">
          <cell r="C49">
            <v>24892.06</v>
          </cell>
        </row>
      </sheetData>
      <sheetData sheetId="2">
        <row r="46">
          <cell r="C46"/>
        </row>
      </sheetData>
      <sheetData sheetId="3">
        <row r="4">
          <cell r="C4">
            <v>40620779.369999997</v>
          </cell>
          <cell r="E4">
            <v>1298433.58</v>
          </cell>
          <cell r="F4">
            <v>493850.05</v>
          </cell>
          <cell r="G4">
            <v>286069.15000000002</v>
          </cell>
          <cell r="H4">
            <v>93098.87</v>
          </cell>
          <cell r="J4">
            <v>23405.599999999999</v>
          </cell>
        </row>
      </sheetData>
      <sheetData sheetId="4">
        <row r="8">
          <cell r="V8">
            <v>34928769.119000018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2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18">
          <cell r="C18">
            <v>2025</v>
          </cell>
        </row>
        <row r="22">
          <cell r="C22">
            <v>34602279.340000004</v>
          </cell>
        </row>
      </sheetData>
      <sheetData sheetId="1">
        <row r="49">
          <cell r="C49">
            <v>30461.98</v>
          </cell>
        </row>
      </sheetData>
      <sheetData sheetId="2">
        <row r="44">
          <cell r="C44">
            <v>146043.85999999999</v>
          </cell>
        </row>
        <row r="61">
          <cell r="C61">
            <v>0</v>
          </cell>
        </row>
      </sheetData>
      <sheetData sheetId="3">
        <row r="4">
          <cell r="C4">
            <v>30134345.359999999</v>
          </cell>
          <cell r="E4">
            <v>1581163.74</v>
          </cell>
          <cell r="F4">
            <v>1119134.4099999999</v>
          </cell>
          <cell r="G4">
            <v>732794.25</v>
          </cell>
          <cell r="H4">
            <v>229213.41</v>
          </cell>
          <cell r="J4">
            <v>140211.25</v>
          </cell>
        </row>
        <row r="15">
          <cell r="P15">
            <v>23829.98</v>
          </cell>
        </row>
      </sheetData>
      <sheetData sheetId="4">
        <row r="6">
          <cell r="V6">
            <v>14403885.08</v>
          </cell>
        </row>
        <row r="7">
          <cell r="V7">
            <v>9600000</v>
          </cell>
        </row>
      </sheetData>
      <sheetData sheetId="5"/>
    </sheetDataSet>
  </externalBook>
</externalLink>
</file>

<file path=xl/externalLinks/externalLink2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 refreshError="1">
        <row r="18">
          <cell r="C18">
            <v>2025</v>
          </cell>
        </row>
        <row r="22">
          <cell r="C22">
            <v>34602279.340000004</v>
          </cell>
        </row>
      </sheetData>
      <sheetData sheetId="1" refreshError="1">
        <row r="49">
          <cell r="C49">
            <v>30461.98</v>
          </cell>
        </row>
      </sheetData>
      <sheetData sheetId="2" refreshError="1">
        <row r="44">
          <cell r="C44">
            <v>146043.85999999999</v>
          </cell>
        </row>
        <row r="61">
          <cell r="C61">
            <v>0</v>
          </cell>
        </row>
      </sheetData>
      <sheetData sheetId="3" refreshError="1">
        <row r="4">
          <cell r="C4">
            <v>30134345.359999999</v>
          </cell>
          <cell r="E4">
            <v>1581163.74</v>
          </cell>
          <cell r="F4">
            <v>1119134.4099999999</v>
          </cell>
          <cell r="G4">
            <v>732794.25</v>
          </cell>
          <cell r="H4">
            <v>229213.41</v>
          </cell>
          <cell r="J4">
            <v>140211.25</v>
          </cell>
        </row>
        <row r="15">
          <cell r="P15">
            <v>23829.98</v>
          </cell>
        </row>
      </sheetData>
      <sheetData sheetId="4" refreshError="1">
        <row r="6">
          <cell r="V6">
            <v>14403885.08</v>
          </cell>
        </row>
        <row r="7">
          <cell r="V7">
            <v>9600000</v>
          </cell>
        </row>
      </sheetData>
      <sheetData sheetId="5" refreshError="1"/>
    </sheetDataSet>
  </externalBook>
</externalLink>
</file>

<file path=xl/externalLinks/externalLink2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"/>
    </sheetNames>
    <sheetDataSet>
      <sheetData sheetId="0">
        <row r="17">
          <cell r="C17">
            <v>1126</v>
          </cell>
        </row>
        <row r="21">
          <cell r="C21">
            <v>37263300.280000001</v>
          </cell>
        </row>
      </sheetData>
      <sheetData sheetId="1">
        <row r="49">
          <cell r="C49">
            <v>107040.67</v>
          </cell>
        </row>
      </sheetData>
      <sheetData sheetId="2">
        <row r="32">
          <cell r="C32">
            <v>338282.84423749993</v>
          </cell>
        </row>
      </sheetData>
      <sheetData sheetId="3">
        <row r="3">
          <cell r="C3">
            <v>35712904.369999997</v>
          </cell>
          <cell r="D3">
            <v>731087.31</v>
          </cell>
          <cell r="E3">
            <v>297040.59999999998</v>
          </cell>
          <cell r="F3">
            <v>138713.44</v>
          </cell>
          <cell r="G3">
            <v>17471.560000000001</v>
          </cell>
          <cell r="I3">
            <v>63205.37</v>
          </cell>
        </row>
      </sheetData>
      <sheetData sheetId="4">
        <row r="4">
          <cell r="V4">
            <v>31518015.819999993</v>
          </cell>
        </row>
        <row r="5">
          <cell r="V5">
            <v>3726381.6599999988</v>
          </cell>
        </row>
        <row r="6">
          <cell r="V6">
            <v>900000</v>
          </cell>
        </row>
        <row r="50">
          <cell r="L50">
            <v>55005.729999999996</v>
          </cell>
        </row>
      </sheetData>
    </sheetDataSet>
  </externalBook>
</externalLink>
</file>

<file path=xl/externalLinks/externalLink2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"/>
    </sheetNames>
    <sheetDataSet>
      <sheetData sheetId="0">
        <row r="17">
          <cell r="C17">
            <v>1121</v>
          </cell>
        </row>
        <row r="21">
          <cell r="C21">
            <v>37072739.869999997</v>
          </cell>
        </row>
      </sheetData>
      <sheetData sheetId="1">
        <row r="49">
          <cell r="C49">
            <v>70844.06</v>
          </cell>
        </row>
      </sheetData>
      <sheetData sheetId="2">
        <row r="32">
          <cell r="C32">
            <v>334878.91808749997</v>
          </cell>
        </row>
      </sheetData>
      <sheetData sheetId="3">
        <row r="3">
          <cell r="C3">
            <v>35620096.289999999</v>
          </cell>
          <cell r="D3">
            <v>674402.8</v>
          </cell>
          <cell r="E3">
            <v>272179.53999999998</v>
          </cell>
          <cell r="F3">
            <v>153498.85</v>
          </cell>
          <cell r="G3">
            <v>74524.639999999999</v>
          </cell>
          <cell r="I3">
            <v>21564.46</v>
          </cell>
        </row>
      </sheetData>
      <sheetData sheetId="4">
        <row r="4">
          <cell r="V4">
            <v>31373859.749999993</v>
          </cell>
        </row>
        <row r="5">
          <cell r="V5">
            <v>3638542.4899999988</v>
          </cell>
        </row>
        <row r="6">
          <cell r="V6">
            <v>900000</v>
          </cell>
        </row>
        <row r="51">
          <cell r="L51">
            <v>16113.5</v>
          </cell>
        </row>
      </sheetData>
    </sheetDataSet>
  </externalBook>
</externalLink>
</file>

<file path=xl/externalLinks/externalLink2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"/>
    </sheetNames>
    <sheetDataSet>
      <sheetData sheetId="0">
        <row r="17">
          <cell r="C17">
            <v>1116</v>
          </cell>
        </row>
        <row r="21">
          <cell r="C21">
            <v>36773620.380000003</v>
          </cell>
        </row>
      </sheetData>
      <sheetData sheetId="1">
        <row r="49">
          <cell r="C49">
            <v>191851.35</v>
          </cell>
        </row>
      </sheetData>
      <sheetData sheetId="2">
        <row r="32">
          <cell r="C32">
            <v>333347.25984374993</v>
          </cell>
        </row>
      </sheetData>
      <sheetData sheetId="3">
        <row r="3">
          <cell r="C3">
            <v>35147809.269999996</v>
          </cell>
          <cell r="D3">
            <v>823374.52</v>
          </cell>
          <cell r="E3">
            <v>214894.44</v>
          </cell>
          <cell r="F3">
            <v>209564.13</v>
          </cell>
          <cell r="G3">
            <v>32507.38</v>
          </cell>
          <cell r="I3">
            <v>67432.89</v>
          </cell>
        </row>
      </sheetData>
      <sheetData sheetId="4">
        <row r="4">
          <cell r="V4">
            <v>31053175.799999993</v>
          </cell>
        </row>
        <row r="5">
          <cell r="V5">
            <v>3633725.0799999987</v>
          </cell>
        </row>
        <row r="6">
          <cell r="V6">
            <v>900000</v>
          </cell>
        </row>
        <row r="51">
          <cell r="L51">
            <v>0</v>
          </cell>
        </row>
      </sheetData>
    </sheetDataSet>
  </externalBook>
</externalLink>
</file>

<file path=xl/externalLinks/externalLink2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  <sheetName val="Part 12 - 13 - Deemed Defaul"/>
    </sheetNames>
    <sheetDataSet>
      <sheetData sheetId="0">
        <row r="17">
          <cell r="C17">
            <v>1112</v>
          </cell>
        </row>
        <row r="21">
          <cell r="C21">
            <v>36559175.390000001</v>
          </cell>
        </row>
      </sheetData>
      <sheetData sheetId="1">
        <row r="49">
          <cell r="C49">
            <v>139317.94</v>
          </cell>
        </row>
      </sheetData>
      <sheetData sheetId="2">
        <row r="32">
          <cell r="C32">
            <v>329939.99287499994</v>
          </cell>
        </row>
      </sheetData>
      <sheetData sheetId="3">
        <row r="3">
          <cell r="C3">
            <v>34766912.449999996</v>
          </cell>
          <cell r="D3">
            <v>1035938.14</v>
          </cell>
          <cell r="E3">
            <v>290294.24</v>
          </cell>
          <cell r="F3">
            <v>119745.27</v>
          </cell>
          <cell r="G3">
            <v>86673.41</v>
          </cell>
          <cell r="I3">
            <v>31128.9</v>
          </cell>
        </row>
      </sheetData>
      <sheetData sheetId="4">
        <row r="4">
          <cell r="V4">
            <v>30888285.579999994</v>
          </cell>
        </row>
        <row r="5">
          <cell r="V5">
            <v>3538322.7599999988</v>
          </cell>
        </row>
        <row r="6">
          <cell r="V6">
            <v>900000</v>
          </cell>
        </row>
        <row r="51">
          <cell r="L51">
            <v>0</v>
          </cell>
        </row>
      </sheetData>
      <sheetData sheetId="5" refreshError="1"/>
    </sheetDataSet>
  </externalBook>
</externalLink>
</file>

<file path=xl/externalLinks/externalLink2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1107</v>
          </cell>
        </row>
        <row r="21">
          <cell r="C21">
            <v>36289037.149999999</v>
          </cell>
        </row>
      </sheetData>
      <sheetData sheetId="1">
        <row r="49">
          <cell r="C49">
            <v>185499.94</v>
          </cell>
        </row>
      </sheetData>
      <sheetData sheetId="2">
        <row r="32">
          <cell r="C32">
            <v>328188.03428749996</v>
          </cell>
        </row>
      </sheetData>
      <sheetData sheetId="3">
        <row r="3">
          <cell r="C3">
            <v>34527955.979999997</v>
          </cell>
          <cell r="D3">
            <v>829484.66</v>
          </cell>
          <cell r="E3">
            <v>420930.36</v>
          </cell>
          <cell r="F3">
            <v>199714.46</v>
          </cell>
          <cell r="G3">
            <v>15035.82</v>
          </cell>
          <cell r="I3">
            <v>36303.99</v>
          </cell>
        </row>
      </sheetData>
      <sheetData sheetId="4">
        <row r="4">
          <cell r="V4">
            <v>30587018.439999994</v>
          </cell>
        </row>
        <row r="5">
          <cell r="V5">
            <v>3529853.0199999986</v>
          </cell>
        </row>
        <row r="6">
          <cell r="V6">
            <v>900000</v>
          </cell>
        </row>
        <row r="51">
          <cell r="L51">
            <v>0</v>
          </cell>
        </row>
      </sheetData>
    </sheetDataSet>
  </externalBook>
</externalLink>
</file>

<file path=xl/externalLinks/externalLink2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>
        <row r="17">
          <cell r="C17">
            <v>1100</v>
          </cell>
        </row>
        <row r="21">
          <cell r="C21">
            <v>35945551.600000001</v>
          </cell>
        </row>
      </sheetData>
      <sheetData sheetId="1" refreshError="1">
        <row r="49">
          <cell r="C49">
            <v>177476.82</v>
          </cell>
        </row>
      </sheetData>
      <sheetData sheetId="2" refreshError="1">
        <row r="32">
          <cell r="C32">
            <v>324987.07092499995</v>
          </cell>
        </row>
      </sheetData>
      <sheetData sheetId="3" refreshError="1">
        <row r="3">
          <cell r="C3">
            <v>34084703.229999997</v>
          </cell>
          <cell r="D3">
            <v>823121.6</v>
          </cell>
          <cell r="E3">
            <v>433858.42</v>
          </cell>
          <cell r="F3">
            <v>216779.71</v>
          </cell>
          <cell r="G3">
            <v>127512.77</v>
          </cell>
          <cell r="I3">
            <v>0</v>
          </cell>
        </row>
      </sheetData>
      <sheetData sheetId="4" refreshError="1">
        <row r="4">
          <cell r="V4">
            <v>30243568.899999995</v>
          </cell>
        </row>
        <row r="5">
          <cell r="V5">
            <v>3497732.8799999985</v>
          </cell>
        </row>
        <row r="6">
          <cell r="V6">
            <v>900000</v>
          </cell>
        </row>
      </sheetData>
    </sheetDataSet>
  </externalBook>
</externalLink>
</file>

<file path=xl/externalLinks/externalLink2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18">
          <cell r="C18">
            <v>31128.9</v>
          </cell>
        </row>
      </sheetData>
      <sheetData sheetId="2"/>
      <sheetData sheetId="3"/>
      <sheetData sheetId="4"/>
    </sheetDataSet>
  </externalBook>
</externalLink>
</file>

<file path=xl/externalLinks/externalLink2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1094</v>
          </cell>
        </row>
        <row r="21">
          <cell r="C21">
            <v>35630142.829999998</v>
          </cell>
        </row>
      </sheetData>
      <sheetData sheetId="1">
        <row r="49">
          <cell r="C49">
            <v>16123.94</v>
          </cell>
        </row>
      </sheetData>
      <sheetData sheetId="2">
        <row r="32">
          <cell r="C32">
            <v>319710.61761874997</v>
          </cell>
        </row>
      </sheetData>
      <sheetData sheetId="3">
        <row r="3">
          <cell r="C3">
            <v>33674850.640000001</v>
          </cell>
          <cell r="D3">
            <v>912572.01</v>
          </cell>
          <cell r="E3">
            <v>430494.11</v>
          </cell>
          <cell r="F3">
            <v>196837.72</v>
          </cell>
          <cell r="G3">
            <v>120349.88</v>
          </cell>
          <cell r="I3">
            <v>57053.08</v>
          </cell>
        </row>
      </sheetData>
      <sheetData sheetId="4">
        <row r="4">
          <cell r="V4">
            <v>29949750.609999996</v>
          </cell>
        </row>
        <row r="5">
          <cell r="V5">
            <v>3401022.4599999986</v>
          </cell>
        </row>
        <row r="6">
          <cell r="V6">
            <v>900000</v>
          </cell>
        </row>
        <row r="51">
          <cell r="L51"/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>
        <row r="18">
          <cell r="C18">
            <v>23074.85</v>
          </cell>
        </row>
      </sheetData>
      <sheetData sheetId="2"/>
      <sheetData sheetId="3"/>
      <sheetData sheetId="4"/>
    </sheetDataSet>
  </externalBook>
</externalLink>
</file>

<file path=xl/externalLinks/externalLink2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>
        <row r="17">
          <cell r="C17">
            <v>1094</v>
          </cell>
        </row>
        <row r="21">
          <cell r="C21">
            <v>35630142.829999998</v>
          </cell>
        </row>
      </sheetData>
      <sheetData sheetId="1" refreshError="1">
        <row r="49">
          <cell r="C49">
            <v>16123.94</v>
          </cell>
        </row>
      </sheetData>
      <sheetData sheetId="2" refreshError="1">
        <row r="32">
          <cell r="C32">
            <v>319710.61761874997</v>
          </cell>
        </row>
      </sheetData>
      <sheetData sheetId="3" refreshError="1">
        <row r="3">
          <cell r="C3">
            <v>33674850.640000001</v>
          </cell>
          <cell r="D3">
            <v>912572.01</v>
          </cell>
          <cell r="E3">
            <v>430494.11</v>
          </cell>
          <cell r="F3">
            <v>196837.72</v>
          </cell>
          <cell r="G3">
            <v>120349.88</v>
          </cell>
          <cell r="I3">
            <v>57053.08</v>
          </cell>
        </row>
      </sheetData>
      <sheetData sheetId="4" refreshError="1">
        <row r="4">
          <cell r="V4">
            <v>29949750.609999996</v>
          </cell>
        </row>
        <row r="5">
          <cell r="V5">
            <v>3401022.4599999986</v>
          </cell>
        </row>
        <row r="6">
          <cell r="V6">
            <v>900000</v>
          </cell>
        </row>
        <row r="51">
          <cell r="L51"/>
        </row>
      </sheetData>
    </sheetDataSet>
  </externalBook>
</externalLink>
</file>

<file path=xl/externalLinks/externalLink2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1084</v>
          </cell>
        </row>
        <row r="21">
          <cell r="C21">
            <v>35230561.5</v>
          </cell>
        </row>
      </sheetData>
      <sheetData sheetId="1">
        <row r="49">
          <cell r="C49">
            <v>250134.46</v>
          </cell>
        </row>
      </sheetData>
      <sheetData sheetId="2">
        <row r="32">
          <cell r="C32">
            <v>318216.10023124999</v>
          </cell>
        </row>
      </sheetData>
      <sheetData sheetId="3">
        <row r="3">
          <cell r="C3">
            <v>33418540.32</v>
          </cell>
          <cell r="D3">
            <v>802223.93</v>
          </cell>
          <cell r="E3">
            <v>432146.81</v>
          </cell>
          <cell r="F3">
            <v>104442.95</v>
          </cell>
          <cell r="G3">
            <v>127472.21</v>
          </cell>
          <cell r="I3">
            <v>107788.51</v>
          </cell>
        </row>
      </sheetData>
      <sheetData sheetId="4">
        <row r="4">
          <cell r="V4">
            <v>29550207.899999995</v>
          </cell>
        </row>
        <row r="5">
          <cell r="V5">
            <v>3356906.5499999984</v>
          </cell>
        </row>
        <row r="6">
          <cell r="V6">
            <v>900000</v>
          </cell>
        </row>
        <row r="51">
          <cell r="L51"/>
        </row>
      </sheetData>
    </sheetDataSet>
  </externalBook>
</externalLink>
</file>

<file path=xl/externalLinks/externalLink2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1076</v>
          </cell>
        </row>
        <row r="21">
          <cell r="C21">
            <v>34879971.030000001</v>
          </cell>
        </row>
      </sheetData>
      <sheetData sheetId="1">
        <row r="49">
          <cell r="C49">
            <v>215948.56</v>
          </cell>
        </row>
      </sheetData>
      <sheetData sheetId="2">
        <row r="32">
          <cell r="C32">
            <v>313970.95893749996</v>
          </cell>
        </row>
      </sheetData>
      <sheetData sheetId="3">
        <row r="3">
          <cell r="C3">
            <v>32966258.109999999</v>
          </cell>
          <cell r="D3">
            <v>843665.18</v>
          </cell>
          <cell r="E3">
            <v>590155.53</v>
          </cell>
          <cell r="F3">
            <v>57213.54</v>
          </cell>
          <cell r="G3">
            <v>147416.99</v>
          </cell>
          <cell r="I3">
            <v>32220.04</v>
          </cell>
        </row>
      </sheetData>
      <sheetData sheetId="4">
        <row r="4">
          <cell r="V4">
            <v>29194522.559999995</v>
          </cell>
        </row>
        <row r="5">
          <cell r="V5">
            <v>3318527.1499999985</v>
          </cell>
        </row>
        <row r="6">
          <cell r="V6">
            <v>900000</v>
          </cell>
        </row>
      </sheetData>
    </sheetDataSet>
  </externalBook>
</externalLink>
</file>

<file path=xl/externalLinks/externalLink2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18">
          <cell r="C18">
            <v>36303.99</v>
          </cell>
        </row>
      </sheetData>
      <sheetData sheetId="2"/>
      <sheetData sheetId="3"/>
      <sheetData sheetId="4"/>
    </sheetDataSet>
  </externalBook>
</externalLink>
</file>

<file path=xl/externalLinks/externalLink2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1070</v>
          </cell>
        </row>
        <row r="21">
          <cell r="C21">
            <v>34703152.039999999</v>
          </cell>
        </row>
      </sheetData>
      <sheetData sheetId="1">
        <row r="49">
          <cell r="C49">
            <v>74036.25</v>
          </cell>
        </row>
      </sheetData>
      <sheetData sheetId="2">
        <row r="32">
          <cell r="C32">
            <v>310191.80219999998</v>
          </cell>
        </row>
      </sheetData>
      <sheetData sheetId="3">
        <row r="3">
          <cell r="C3">
            <v>32669815.07</v>
          </cell>
          <cell r="D3">
            <v>859669.27</v>
          </cell>
          <cell r="E3">
            <v>563973.53</v>
          </cell>
          <cell r="F3">
            <v>177364.69</v>
          </cell>
          <cell r="G3">
            <v>136355.82999999999</v>
          </cell>
          <cell r="I3">
            <v>57092.36</v>
          </cell>
        </row>
      </sheetData>
      <sheetData sheetId="4">
        <row r="4">
          <cell r="V4">
            <v>29021863.919999994</v>
          </cell>
        </row>
        <row r="5">
          <cell r="V5">
            <v>3288194.2899999986</v>
          </cell>
        </row>
        <row r="6">
          <cell r="V6">
            <v>900000</v>
          </cell>
        </row>
      </sheetData>
    </sheetDataSet>
  </externalBook>
</externalLink>
</file>

<file path=xl/externalLinks/externalLink2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18">
          <cell r="C18">
            <v>32220.04</v>
          </cell>
        </row>
      </sheetData>
      <sheetData sheetId="2"/>
      <sheetData sheetId="3"/>
      <sheetData sheetId="4"/>
    </sheetDataSet>
  </externalBook>
</externalLink>
</file>

<file path=xl/externalLinks/externalLink2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1069</v>
          </cell>
        </row>
        <row r="21">
          <cell r="C21">
            <v>34611721.359999999</v>
          </cell>
        </row>
      </sheetData>
      <sheetData sheetId="1">
        <row r="49">
          <cell r="C49">
            <v>16209.56</v>
          </cell>
        </row>
      </sheetData>
      <sheetData sheetId="2">
        <row r="32">
          <cell r="C32">
            <v>0</v>
          </cell>
        </row>
        <row r="45">
          <cell r="C45">
            <v>308357.30414999998</v>
          </cell>
        </row>
      </sheetData>
      <sheetData sheetId="3">
        <row r="3">
          <cell r="C3">
            <v>32721873.050000001</v>
          </cell>
          <cell r="D3">
            <v>645967.94999999995</v>
          </cell>
          <cell r="E3">
            <v>647508.63</v>
          </cell>
          <cell r="F3">
            <v>112494.65</v>
          </cell>
          <cell r="G3">
            <v>105583.24</v>
          </cell>
          <cell r="I3">
            <v>103069.28</v>
          </cell>
        </row>
      </sheetData>
      <sheetData sheetId="4">
        <row r="4">
          <cell r="V4">
            <v>28894089.969999995</v>
          </cell>
        </row>
        <row r="5">
          <cell r="V5">
            <v>3278246.4199999985</v>
          </cell>
        </row>
        <row r="6">
          <cell r="V6">
            <v>900000</v>
          </cell>
        </row>
      </sheetData>
    </sheetDataSet>
  </externalBook>
</externalLink>
</file>

<file path=xl/externalLinks/externalLink2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18">
          <cell r="C18">
            <v>36343.269999999997</v>
          </cell>
        </row>
      </sheetData>
      <sheetData sheetId="2"/>
      <sheetData sheetId="3"/>
      <sheetData sheetId="4"/>
    </sheetDataSet>
  </externalBook>
</externalLink>
</file>

<file path=xl/externalLinks/externalLink2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1068</v>
          </cell>
        </row>
        <row r="21">
          <cell r="C21">
            <v>34536177.920000002</v>
          </cell>
        </row>
      </sheetData>
      <sheetData sheetId="1">
        <row r="49">
          <cell r="C49">
            <v>113.26</v>
          </cell>
        </row>
      </sheetData>
      <sheetData sheetId="2">
        <row r="32">
          <cell r="C32">
            <v>0</v>
          </cell>
        </row>
        <row r="45">
          <cell r="C45">
            <v>306999.70593124995</v>
          </cell>
        </row>
      </sheetData>
      <sheetData sheetId="3">
        <row r="3">
          <cell r="C3">
            <v>32642340.27</v>
          </cell>
          <cell r="D3">
            <v>706267.72</v>
          </cell>
          <cell r="E3">
            <v>602391.72</v>
          </cell>
          <cell r="F3">
            <v>79133.47</v>
          </cell>
          <cell r="G3">
            <v>88486.42</v>
          </cell>
          <cell r="I3">
            <v>39264.480000000003</v>
          </cell>
        </row>
      </sheetData>
      <sheetData sheetId="4">
        <row r="4">
          <cell r="V4">
            <v>28750423.069999997</v>
          </cell>
        </row>
        <row r="5">
          <cell r="V5">
            <v>3278246.4199999985</v>
          </cell>
        </row>
        <row r="6">
          <cell r="V6">
            <v>900000</v>
          </cell>
        </row>
      </sheetData>
    </sheetDataSet>
  </externalBook>
</externalLink>
</file>

<file path=xl/externalLinks/externalLink2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18">
          <cell r="C18">
            <v>54578.630000000005</v>
          </cell>
        </row>
      </sheetData>
      <sheetData sheetId="2"/>
      <sheetData sheetId="3"/>
      <sheetData sheetId="4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 refreshError="1">
        <row r="18">
          <cell r="C18">
            <v>2022</v>
          </cell>
        </row>
        <row r="22">
          <cell r="C22">
            <v>43318164.649999999</v>
          </cell>
        </row>
      </sheetData>
      <sheetData sheetId="1" refreshError="1">
        <row r="49">
          <cell r="C49">
            <v>24892.06</v>
          </cell>
        </row>
      </sheetData>
      <sheetData sheetId="2" refreshError="1">
        <row r="46">
          <cell r="C46"/>
        </row>
      </sheetData>
      <sheetData sheetId="3" refreshError="1">
        <row r="4">
          <cell r="C4">
            <v>40620779.369999997</v>
          </cell>
          <cell r="E4">
            <v>1298433.58</v>
          </cell>
          <cell r="F4">
            <v>493850.05</v>
          </cell>
          <cell r="G4">
            <v>286069.15000000002</v>
          </cell>
          <cell r="H4">
            <v>93098.87</v>
          </cell>
          <cell r="J4">
            <v>23405.599999999999</v>
          </cell>
        </row>
      </sheetData>
      <sheetData sheetId="4" refreshError="1">
        <row r="8">
          <cell r="V8">
            <v>34928769.119000018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2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  <sheetName val="Parts 2 - 3"/>
      <sheetName val="Parts 7-10"/>
      <sheetName val="Part 11"/>
      <sheetName val="Parts 4 - 6 "/>
    </sheetNames>
    <sheetDataSet>
      <sheetData sheetId="0">
        <row r="17">
          <cell r="C17">
            <v>1067</v>
          </cell>
        </row>
        <row r="21">
          <cell r="C21">
            <v>34435642.289999999</v>
          </cell>
        </row>
      </sheetData>
      <sheetData sheetId="1">
        <row r="49">
          <cell r="C49">
            <v>24184.94</v>
          </cell>
        </row>
      </sheetData>
      <sheetData sheetId="2">
        <row r="32">
          <cell r="C32">
            <v>0</v>
          </cell>
        </row>
        <row r="45">
          <cell r="C45">
            <v>305473.24511874997</v>
          </cell>
        </row>
      </sheetData>
      <sheetData sheetId="3">
        <row r="3">
          <cell r="C3">
            <v>32584095.759999998</v>
          </cell>
          <cell r="D3">
            <v>710898.02</v>
          </cell>
          <cell r="E3">
            <v>555492.97</v>
          </cell>
          <cell r="F3">
            <v>47463.66</v>
          </cell>
          <cell r="G3">
            <v>20804.75</v>
          </cell>
          <cell r="I3">
            <v>99328.81</v>
          </cell>
        </row>
      </sheetData>
      <sheetData sheetId="4">
        <row r="4">
          <cell r="V4">
            <v>28593089.529999997</v>
          </cell>
        </row>
        <row r="5">
          <cell r="V5">
            <v>3278246.4199999985</v>
          </cell>
        </row>
        <row r="6">
          <cell r="V6">
            <v>900000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18">
          <cell r="C18">
            <v>49718.22</v>
          </cell>
        </row>
      </sheetData>
      <sheetData sheetId="2"/>
      <sheetData sheetId="3"/>
      <sheetData sheetId="4"/>
    </sheetDataSet>
  </externalBook>
</externalLink>
</file>

<file path=xl/externalLinks/externalLink2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  <sheetName val="Parts 2 - 3"/>
      <sheetName val="Parts 7-10"/>
      <sheetName val="Part 11"/>
    </sheetNames>
    <sheetDataSet>
      <sheetData sheetId="0">
        <row r="17">
          <cell r="C17">
            <v>1061</v>
          </cell>
        </row>
        <row r="21">
          <cell r="C21">
            <v>34146563.469999999</v>
          </cell>
        </row>
      </sheetData>
      <sheetData sheetId="1">
        <row r="49">
          <cell r="C49">
            <v>55390.16</v>
          </cell>
        </row>
      </sheetData>
      <sheetData sheetId="2">
        <row r="45">
          <cell r="C45">
            <v>301886.50925624999</v>
          </cell>
        </row>
      </sheetData>
      <sheetData sheetId="3">
        <row r="3">
          <cell r="C3">
            <v>32303837.670000002</v>
          </cell>
          <cell r="D3">
            <v>750926.3</v>
          </cell>
          <cell r="F3">
            <v>124909.31</v>
          </cell>
          <cell r="G3">
            <v>47146.38</v>
          </cell>
          <cell r="I3">
            <v>20804.75</v>
          </cell>
        </row>
      </sheetData>
      <sheetData sheetId="4">
        <row r="4">
          <cell r="V4">
            <v>28289754.089999996</v>
          </cell>
        </row>
        <row r="5">
          <cell r="V5">
            <v>3226202.7199999988</v>
          </cell>
        </row>
        <row r="6">
          <cell r="V6">
            <v>900000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>
        <row r="3">
          <cell r="E3">
            <v>615281.05000000005</v>
          </cell>
        </row>
      </sheetData>
      <sheetData sheetId="4"/>
    </sheetDataSet>
  </externalBook>
</externalLink>
</file>

<file path=xl/externalLinks/externalLink2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>
        <row r="17">
          <cell r="C17">
            <v>1061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>
        <row r="21">
          <cell r="C21">
            <v>34146563.469999999</v>
          </cell>
        </row>
      </sheetData>
      <sheetData sheetId="1" refreshError="1">
        <row r="49">
          <cell r="C49">
            <v>55390.16</v>
          </cell>
        </row>
      </sheetData>
      <sheetData sheetId="2" refreshError="1">
        <row r="45">
          <cell r="C45">
            <v>301886.50925624999</v>
          </cell>
        </row>
      </sheetData>
      <sheetData sheetId="3" refreshError="1">
        <row r="3">
          <cell r="C3">
            <v>32303837.670000002</v>
          </cell>
          <cell r="D3">
            <v>750926.3</v>
          </cell>
          <cell r="F3">
            <v>124909.31</v>
          </cell>
          <cell r="G3">
            <v>47146.38</v>
          </cell>
          <cell r="I3">
            <v>20804.75</v>
          </cell>
        </row>
      </sheetData>
      <sheetData sheetId="4" refreshError="1">
        <row r="4">
          <cell r="V4">
            <v>28289754.089999996</v>
          </cell>
        </row>
        <row r="5">
          <cell r="V5">
            <v>3226202.7199999988</v>
          </cell>
        </row>
        <row r="6">
          <cell r="V6">
            <v>900000</v>
          </cell>
        </row>
      </sheetData>
    </sheetDataSet>
  </externalBook>
</externalLink>
</file>

<file path=xl/externalLinks/externalLink2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>
        <row r="3">
          <cell r="E3">
            <v>484536.51</v>
          </cell>
        </row>
      </sheetData>
      <sheetData sheetId="4"/>
    </sheetDataSet>
  </externalBook>
</externalLink>
</file>

<file path=xl/externalLinks/externalLink2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1048</v>
          </cell>
        </row>
        <row r="21">
          <cell r="C21">
            <v>33572690.460000001</v>
          </cell>
        </row>
      </sheetData>
      <sheetData sheetId="1">
        <row r="49">
          <cell r="C49">
            <v>144213.84</v>
          </cell>
        </row>
      </sheetData>
      <sheetData sheetId="2">
        <row r="45">
          <cell r="C45">
            <v>297266.26816874999</v>
          </cell>
        </row>
      </sheetData>
      <sheetData sheetId="3">
        <row r="3">
          <cell r="C3">
            <v>31515196.060000002</v>
          </cell>
          <cell r="D3">
            <v>908029.88</v>
          </cell>
          <cell r="F3">
            <v>188061.28</v>
          </cell>
          <cell r="G3">
            <v>36303.99</v>
          </cell>
          <cell r="I3">
            <v>0</v>
          </cell>
        </row>
      </sheetData>
      <sheetData sheetId="4">
        <row r="4">
          <cell r="V4">
            <v>27684383.419999998</v>
          </cell>
        </row>
        <row r="5">
          <cell r="V5">
            <v>3200661.9299999988</v>
          </cell>
        </row>
        <row r="6">
          <cell r="V6">
            <v>900000</v>
          </cell>
        </row>
      </sheetData>
    </sheetDataSet>
  </externalBook>
</externalLink>
</file>

<file path=xl/externalLinks/externalLink2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18">
          <cell r="C18">
            <v>20804.75</v>
          </cell>
        </row>
      </sheetData>
      <sheetData sheetId="2"/>
      <sheetData sheetId="3">
        <row r="3">
          <cell r="E3">
            <v>315256.74</v>
          </cell>
        </row>
      </sheetData>
      <sheetData sheetId="4"/>
    </sheetDataSet>
  </externalBook>
</externalLink>
</file>

<file path=xl/externalLinks/externalLink2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1042</v>
          </cell>
        </row>
        <row r="21">
          <cell r="C21">
            <v>33403635.16</v>
          </cell>
        </row>
      </sheetData>
      <sheetData sheetId="1">
        <row r="49">
          <cell r="C49">
            <v>69709.899999999994</v>
          </cell>
        </row>
      </sheetData>
      <sheetData sheetId="2">
        <row r="45">
          <cell r="C45">
            <v>294146.57383750001</v>
          </cell>
        </row>
      </sheetData>
      <sheetData sheetId="3">
        <row r="3">
          <cell r="C3">
            <v>31466766.270000003</v>
          </cell>
          <cell r="D3">
            <v>779754.5</v>
          </cell>
          <cell r="F3">
            <v>137131.51</v>
          </cell>
          <cell r="G3">
            <v>22590.05</v>
          </cell>
          <cell r="I3">
            <v>31647.14</v>
          </cell>
        </row>
      </sheetData>
      <sheetData sheetId="4">
        <row r="4">
          <cell r="V4">
            <v>27547050.129999999</v>
          </cell>
        </row>
        <row r="5">
          <cell r="V5">
            <v>3134500.3399999989</v>
          </cell>
        </row>
        <row r="6">
          <cell r="V6">
            <v>900000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>
        <row r="18">
          <cell r="C18">
            <v>86487.459999999992</v>
          </cell>
        </row>
      </sheetData>
      <sheetData sheetId="2"/>
      <sheetData sheetId="3"/>
      <sheetData sheetId="4"/>
    </sheetDataSet>
  </externalBook>
</externalLink>
</file>

<file path=xl/externalLinks/externalLink2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18">
          <cell r="C18">
            <v>10842.39</v>
          </cell>
        </row>
      </sheetData>
      <sheetData sheetId="2"/>
      <sheetData sheetId="3">
        <row r="3">
          <cell r="E3">
            <v>479199.04</v>
          </cell>
        </row>
      </sheetData>
      <sheetData sheetId="4"/>
    </sheetDataSet>
  </externalBook>
</externalLink>
</file>

<file path=xl/externalLinks/externalLink2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>
        <row r="17">
          <cell r="C17">
            <v>1042</v>
          </cell>
        </row>
        <row r="21">
          <cell r="C21">
            <v>33403635.16</v>
          </cell>
        </row>
      </sheetData>
      <sheetData sheetId="1" refreshError="1">
        <row r="49">
          <cell r="C49">
            <v>69709.899999999994</v>
          </cell>
        </row>
      </sheetData>
      <sheetData sheetId="2" refreshError="1">
        <row r="45">
          <cell r="C45">
            <v>294146.57383750001</v>
          </cell>
        </row>
      </sheetData>
      <sheetData sheetId="3" refreshError="1">
        <row r="3">
          <cell r="C3">
            <v>31466766.270000003</v>
          </cell>
          <cell r="D3">
            <v>779754.5</v>
          </cell>
          <cell r="F3">
            <v>137131.51</v>
          </cell>
          <cell r="G3">
            <v>22590.05</v>
          </cell>
          <cell r="I3">
            <v>31647.14</v>
          </cell>
        </row>
      </sheetData>
      <sheetData sheetId="4" refreshError="1">
        <row r="4">
          <cell r="V4">
            <v>27547050.129999999</v>
          </cell>
        </row>
        <row r="5">
          <cell r="V5">
            <v>3134500.3399999989</v>
          </cell>
        </row>
        <row r="6">
          <cell r="V6">
            <v>900000</v>
          </cell>
        </row>
      </sheetData>
    </sheetDataSet>
  </externalBook>
</externalLink>
</file>

<file path=xl/externalLinks/externalLink2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>
        <row r="3">
          <cell r="E3">
            <v>551567.49</v>
          </cell>
        </row>
      </sheetData>
      <sheetData sheetId="4"/>
    </sheetDataSet>
  </externalBook>
</externalLink>
</file>

<file path=xl/externalLinks/externalLink2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1037</v>
          </cell>
        </row>
        <row r="21">
          <cell r="C21">
            <v>33164007.32</v>
          </cell>
        </row>
      </sheetData>
      <sheetData sheetId="1">
        <row r="49">
          <cell r="C49">
            <v>142495.48000000001</v>
          </cell>
        </row>
      </sheetData>
      <sheetData sheetId="2">
        <row r="45">
          <cell r="C45">
            <v>292687.40763124998</v>
          </cell>
        </row>
      </sheetData>
      <sheetData sheetId="3">
        <row r="3">
          <cell r="C3">
            <v>31255458.379999999</v>
          </cell>
          <cell r="D3">
            <v>743697.83</v>
          </cell>
          <cell r="F3">
            <v>240284.9</v>
          </cell>
          <cell r="G3">
            <v>11142.83</v>
          </cell>
          <cell r="I3">
            <v>10842.39</v>
          </cell>
        </row>
      </sheetData>
      <sheetData sheetId="4">
        <row r="4">
          <cell r="V4">
            <v>27286660.82</v>
          </cell>
        </row>
        <row r="5">
          <cell r="V5">
            <v>3121643.3699999987</v>
          </cell>
        </row>
        <row r="6">
          <cell r="V6">
            <v>900000</v>
          </cell>
        </row>
      </sheetData>
    </sheetDataSet>
  </externalBook>
</externalLink>
</file>

<file path=xl/externalLinks/externalLink2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>
        <row r="3">
          <cell r="E3">
            <v>467641.32</v>
          </cell>
        </row>
      </sheetData>
      <sheetData sheetId="4"/>
    </sheetDataSet>
  </externalBook>
</externalLink>
</file>

<file path=xl/externalLinks/externalLink2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1031</v>
          </cell>
        </row>
        <row r="21">
          <cell r="C21">
            <v>32865046.370000001</v>
          </cell>
        </row>
      </sheetData>
      <sheetData sheetId="1">
        <row r="49">
          <cell r="C49">
            <v>161698.07999999999</v>
          </cell>
        </row>
      </sheetData>
      <sheetData sheetId="2">
        <row r="45">
          <cell r="C45">
            <v>289920.7712125</v>
          </cell>
        </row>
      </sheetData>
      <sheetData sheetId="3">
        <row r="3">
          <cell r="C3">
            <v>30863066.370000001</v>
          </cell>
          <cell r="D3">
            <v>908769.16</v>
          </cell>
          <cell r="F3">
            <v>104527.9</v>
          </cell>
          <cell r="G3">
            <v>18316.25</v>
          </cell>
          <cell r="I3">
            <v>21985.22</v>
          </cell>
        </row>
      </sheetData>
      <sheetData sheetId="4">
        <row r="4">
          <cell r="V4">
            <v>27026820.870000001</v>
          </cell>
        </row>
        <row r="5">
          <cell r="V5">
            <v>3042861.9799999986</v>
          </cell>
        </row>
        <row r="6">
          <cell r="V6">
            <v>900000</v>
          </cell>
        </row>
      </sheetData>
    </sheetDataSet>
  </externalBook>
</externalLink>
</file>

<file path=xl/externalLinks/externalLink2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49">
          <cell r="C49">
            <v>161698.07999999999</v>
          </cell>
        </row>
      </sheetData>
      <sheetData sheetId="2"/>
      <sheetData sheetId="3"/>
      <sheetData sheetId="4"/>
    </sheetDataSet>
  </externalBook>
</externalLink>
</file>

<file path=xl/externalLinks/externalLink2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/>
      <sheetData sheetId="1" refreshError="1"/>
      <sheetData sheetId="2" refreshError="1"/>
      <sheetData sheetId="3" refreshError="1">
        <row r="3">
          <cell r="E3">
            <v>552562.80000000005</v>
          </cell>
        </row>
      </sheetData>
      <sheetData sheetId="4" refreshError="1"/>
    </sheetDataSet>
  </externalBook>
</externalLink>
</file>

<file path=xl/externalLinks/externalLink2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/>
      <sheetData sheetId="4"/>
    </sheetDataSet>
  </externalBook>
</externalLink>
</file>

<file path=xl/externalLinks/externalLink2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>
        <row r="17">
          <cell r="C17">
            <v>1025</v>
          </cell>
        </row>
        <row r="21">
          <cell r="C21">
            <v>32680242.059999999</v>
          </cell>
        </row>
      </sheetData>
      <sheetData sheetId="1" refreshError="1"/>
      <sheetData sheetId="2" refreshError="1">
        <row r="45">
          <cell r="C45">
            <v>287159.97174375004</v>
          </cell>
        </row>
      </sheetData>
      <sheetData sheetId="3" refreshError="1">
        <row r="3">
          <cell r="C3">
            <v>30749486.200000003</v>
          </cell>
          <cell r="D3">
            <v>718603.22</v>
          </cell>
          <cell r="F3">
            <v>140365.79999999999</v>
          </cell>
          <cell r="G3">
            <v>135092.96</v>
          </cell>
          <cell r="I3">
            <v>10842.39</v>
          </cell>
        </row>
      </sheetData>
      <sheetData sheetId="4" refreshError="1">
        <row r="4">
          <cell r="V4">
            <v>26830961.75</v>
          </cell>
        </row>
        <row r="5">
          <cell r="V5">
            <v>3023177.7799999984</v>
          </cell>
        </row>
        <row r="6">
          <cell r="V6">
            <v>900000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2010</v>
          </cell>
        </row>
        <row r="22">
          <cell r="C22">
            <v>43055538.390000001</v>
          </cell>
        </row>
      </sheetData>
      <sheetData sheetId="1">
        <row r="49">
          <cell r="C49">
            <v>91329.25</v>
          </cell>
        </row>
      </sheetData>
      <sheetData sheetId="2">
        <row r="46">
          <cell r="C46"/>
        </row>
      </sheetData>
      <sheetData sheetId="3">
        <row r="4">
          <cell r="C4">
            <v>40357231.640000001</v>
          </cell>
          <cell r="E4">
            <v>1300895.51</v>
          </cell>
          <cell r="F4">
            <v>490165.45</v>
          </cell>
          <cell r="G4">
            <v>218009.68</v>
          </cell>
          <cell r="H4">
            <v>123022.22</v>
          </cell>
          <cell r="J4">
            <v>63685.86</v>
          </cell>
        </row>
      </sheetData>
      <sheetData sheetId="4">
        <row r="8">
          <cell r="V8">
            <v>34710575.99900002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2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25">
          <cell r="E25">
            <v>7.4999999999999997E-2</v>
          </cell>
        </row>
      </sheetData>
      <sheetData sheetId="1">
        <row r="49">
          <cell r="C49">
            <v>142290.39000000001</v>
          </cell>
        </row>
      </sheetData>
      <sheetData sheetId="2"/>
      <sheetData sheetId="3"/>
      <sheetData sheetId="4"/>
    </sheetDataSet>
  </externalBook>
</externalLink>
</file>

<file path=xl/externalLinks/externalLink2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/>
      <sheetData sheetId="1" refreshError="1"/>
      <sheetData sheetId="2" refreshError="1"/>
      <sheetData sheetId="3" refreshError="1">
        <row r="3">
          <cell r="E3">
            <v>518978.01</v>
          </cell>
        </row>
      </sheetData>
      <sheetData sheetId="4" refreshError="1"/>
    </sheetDataSet>
  </externalBook>
</externalLink>
</file>

<file path=xl/externalLinks/externalLink2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18">
          <cell r="C18">
            <v>11142.83</v>
          </cell>
        </row>
      </sheetData>
      <sheetData sheetId="2"/>
      <sheetData sheetId="3"/>
      <sheetData sheetId="4"/>
    </sheetDataSet>
  </externalBook>
</externalLink>
</file>

<file path=xl/externalLinks/externalLink2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>
        <row r="17">
          <cell r="C17">
            <v>1015</v>
          </cell>
        </row>
        <row r="21">
          <cell r="C21">
            <v>32374179.219999999</v>
          </cell>
        </row>
      </sheetData>
      <sheetData sheetId="1" refreshError="1"/>
      <sheetData sheetId="2" refreshError="1">
        <row r="45">
          <cell r="C45">
            <v>285078.96859375003</v>
          </cell>
        </row>
      </sheetData>
      <sheetData sheetId="3" refreshError="1">
        <row r="3">
          <cell r="C3">
            <v>30376019.16</v>
          </cell>
          <cell r="D3">
            <v>840111.51</v>
          </cell>
          <cell r="F3">
            <v>136394.03</v>
          </cell>
          <cell r="G3">
            <v>73465.490000000005</v>
          </cell>
          <cell r="I3">
            <v>39499.89</v>
          </cell>
        </row>
      </sheetData>
      <sheetData sheetId="4" refreshError="1">
        <row r="4">
          <cell r="V4">
            <v>26536089.48</v>
          </cell>
        </row>
        <row r="5">
          <cell r="V5">
            <v>2990459.7499999986</v>
          </cell>
        </row>
        <row r="6">
          <cell r="V6">
            <v>900000</v>
          </cell>
        </row>
      </sheetData>
    </sheetDataSet>
  </externalBook>
</externalLink>
</file>

<file path=xl/externalLinks/externalLink2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25">
          <cell r="E25">
            <v>7.4899999999999994E-2</v>
          </cell>
        </row>
      </sheetData>
      <sheetData sheetId="1">
        <row r="49">
          <cell r="C49">
            <v>140874.43</v>
          </cell>
        </row>
      </sheetData>
      <sheetData sheetId="2"/>
      <sheetData sheetId="3"/>
      <sheetData sheetId="4"/>
    </sheetDataSet>
  </externalBook>
</externalLink>
</file>

<file path=xl/externalLinks/externalLink2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/>
      <sheetData sheetId="1" refreshError="1"/>
      <sheetData sheetId="2" refreshError="1"/>
      <sheetData sheetId="3" refreshError="1">
        <row r="3">
          <cell r="E3">
            <v>513006.23</v>
          </cell>
        </row>
      </sheetData>
      <sheetData sheetId="4" refreshError="1"/>
    </sheetDataSet>
  </externalBook>
</externalLink>
</file>

<file path=xl/externalLinks/externalLink2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/>
      <sheetData sheetId="4"/>
    </sheetDataSet>
  </externalBook>
</externalLink>
</file>

<file path=xl/externalLinks/externalLink2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1009</v>
          </cell>
        </row>
        <row r="21">
          <cell r="C21">
            <v>32175633.02</v>
          </cell>
        </row>
      </sheetData>
      <sheetData sheetId="1">
        <row r="49">
          <cell r="C49">
            <v>94777.59</v>
          </cell>
        </row>
      </sheetData>
      <sheetData sheetId="2">
        <row r="45">
          <cell r="C45">
            <v>279726.98790000007</v>
          </cell>
        </row>
      </sheetData>
      <sheetData sheetId="3">
        <row r="3">
          <cell r="C3">
            <v>44320</v>
          </cell>
          <cell r="D3">
            <v>912479.38</v>
          </cell>
          <cell r="F3">
            <v>25967.82</v>
          </cell>
          <cell r="G3">
            <v>110628.5</v>
          </cell>
          <cell r="I3">
            <v>0</v>
          </cell>
        </row>
      </sheetData>
      <sheetData sheetId="4">
        <row r="4">
          <cell r="V4">
            <v>26118402.360000003</v>
          </cell>
        </row>
        <row r="5">
          <cell r="V5">
            <v>2910553.2499999986</v>
          </cell>
        </row>
        <row r="6">
          <cell r="V6">
            <v>900000</v>
          </cell>
        </row>
      </sheetData>
    </sheetDataSet>
  </externalBook>
</externalLink>
</file>

<file path=xl/externalLinks/externalLink2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18">
          <cell r="C18">
            <v>10341.25</v>
          </cell>
        </row>
      </sheetData>
      <sheetData sheetId="2"/>
      <sheetData sheetId="3">
        <row r="3">
          <cell r="E3">
            <v>389097.54</v>
          </cell>
        </row>
      </sheetData>
      <sheetData sheetId="4"/>
    </sheetDataSet>
  </externalBook>
</externalLink>
</file>

<file path=xl/externalLinks/externalLink2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1002</v>
          </cell>
        </row>
        <row r="21">
          <cell r="C21">
            <v>31859839.640000001</v>
          </cell>
        </row>
      </sheetData>
      <sheetData sheetId="1">
        <row r="49">
          <cell r="C49">
            <v>161874.23999999999</v>
          </cell>
        </row>
      </sheetData>
      <sheetData sheetId="2">
        <row r="45">
          <cell r="C45">
            <v>276790.40609375003</v>
          </cell>
        </row>
      </sheetData>
      <sheetData sheetId="3">
        <row r="3">
          <cell r="C3">
            <v>30290178.400000002</v>
          </cell>
          <cell r="D3">
            <v>544195.68999999994</v>
          </cell>
          <cell r="F3">
            <v>111599.25</v>
          </cell>
          <cell r="G3">
            <v>39483</v>
          </cell>
          <cell r="I3">
            <v>54620.24</v>
          </cell>
        </row>
      </sheetData>
      <sheetData sheetId="4">
        <row r="4">
          <cell r="V4">
            <v>25939343.030000001</v>
          </cell>
        </row>
        <row r="5">
          <cell r="V5">
            <v>2778898.2499999986</v>
          </cell>
        </row>
        <row r="6">
          <cell r="V6">
            <v>900000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2121</v>
          </cell>
        </row>
        <row r="22">
          <cell r="C22">
            <v>47831166.789999999</v>
          </cell>
        </row>
      </sheetData>
      <sheetData sheetId="1">
        <row r="49">
          <cell r="C49">
            <v>191021.3</v>
          </cell>
        </row>
      </sheetData>
      <sheetData sheetId="2">
        <row r="46">
          <cell r="C46">
            <v>0</v>
          </cell>
        </row>
      </sheetData>
      <sheetData sheetId="3">
        <row r="4">
          <cell r="C4">
            <v>46165226.549999997</v>
          </cell>
          <cell r="E4">
            <v>897932.06</v>
          </cell>
          <cell r="F4">
            <v>306499.06</v>
          </cell>
          <cell r="G4">
            <v>198062.34</v>
          </cell>
          <cell r="H4">
            <v>24176.799999999999</v>
          </cell>
          <cell r="J4">
            <v>0</v>
          </cell>
        </row>
      </sheetData>
      <sheetData sheetId="4">
        <row r="8">
          <cell r="V8">
            <v>39931259.849000014</v>
          </cell>
        </row>
        <row r="9">
          <cell r="V9">
            <v>6000000</v>
          </cell>
        </row>
        <row r="10">
          <cell r="V10">
            <v>750000</v>
          </cell>
        </row>
        <row r="87">
          <cell r="L87">
            <v>0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/>
      <sheetData sheetId="4"/>
    </sheetDataSet>
  </externalBook>
</externalLink>
</file>

<file path=xl/externalLinks/externalLink3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>
        <row r="3">
          <cell r="E3">
            <v>453192</v>
          </cell>
        </row>
      </sheetData>
      <sheetData sheetId="4"/>
    </sheetDataSet>
  </externalBook>
</externalLink>
</file>

<file path=xl/externalLinks/externalLink3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998</v>
          </cell>
        </row>
        <row r="21">
          <cell r="C21">
            <v>31693658.510000002</v>
          </cell>
        </row>
      </sheetData>
      <sheetData sheetId="1">
        <row r="49">
          <cell r="C49">
            <v>55848.23</v>
          </cell>
        </row>
      </sheetData>
      <sheetData sheetId="2">
        <row r="45">
          <cell r="C45">
            <v>275605.51969375001</v>
          </cell>
        </row>
      </sheetData>
      <sheetData sheetId="3">
        <row r="3">
          <cell r="C3">
            <v>30437462.800000001</v>
          </cell>
          <cell r="D3">
            <v>253927.4</v>
          </cell>
          <cell r="F3">
            <v>270207.84999999998</v>
          </cell>
          <cell r="G3">
            <v>26136.47</v>
          </cell>
          <cell r="I3">
            <v>73312.539999999994</v>
          </cell>
        </row>
      </sheetData>
      <sheetData sheetId="4">
        <row r="4">
          <cell r="V4">
            <v>25765883.760000002</v>
          </cell>
        </row>
        <row r="5">
          <cell r="V5">
            <v>2778697.8399999985</v>
          </cell>
        </row>
        <row r="6">
          <cell r="V6">
            <v>900000</v>
          </cell>
        </row>
      </sheetData>
    </sheetDataSet>
  </externalBook>
</externalLink>
</file>

<file path=xl/externalLinks/externalLink3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>
        <row r="3">
          <cell r="E3">
            <v>320702.8</v>
          </cell>
        </row>
      </sheetData>
      <sheetData sheetId="4"/>
    </sheetDataSet>
  </externalBook>
</externalLink>
</file>

<file path=xl/externalLinks/externalLink3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996</v>
          </cell>
        </row>
        <row r="21">
          <cell r="C21">
            <v>31559602.780000001</v>
          </cell>
        </row>
      </sheetData>
      <sheetData sheetId="1">
        <row r="49">
          <cell r="C49">
            <v>52705.32</v>
          </cell>
        </row>
      </sheetData>
      <sheetData sheetId="2">
        <row r="45">
          <cell r="C45">
            <v>273762.51495000004</v>
          </cell>
        </row>
      </sheetData>
      <sheetData sheetId="3">
        <row r="3">
          <cell r="C3">
            <v>30239982.699999999</v>
          </cell>
          <cell r="D3">
            <v>409664.56</v>
          </cell>
          <cell r="F3">
            <v>229702.59</v>
          </cell>
          <cell r="G3">
            <v>22515.23</v>
          </cell>
          <cell r="I3">
            <v>0</v>
          </cell>
        </row>
      </sheetData>
      <sheetData sheetId="4">
        <row r="4">
          <cell r="V4">
            <v>25446348.330000002</v>
          </cell>
        </row>
        <row r="5">
          <cell r="V5">
            <v>2744005.4399999985</v>
          </cell>
        </row>
        <row r="6">
          <cell r="V6">
            <v>900000</v>
          </cell>
        </row>
      </sheetData>
    </sheetDataSet>
  </externalBook>
</externalLink>
</file>

<file path=xl/externalLinks/externalLink3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18">
          <cell r="C18">
            <v>39483</v>
          </cell>
        </row>
      </sheetData>
      <sheetData sheetId="2"/>
      <sheetData sheetId="3">
        <row r="3">
          <cell r="E3">
            <v>306425.51</v>
          </cell>
        </row>
      </sheetData>
      <sheetData sheetId="4"/>
    </sheetDataSet>
  </externalBook>
</externalLink>
</file>

<file path=xl/externalLinks/externalLink3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991</v>
          </cell>
        </row>
        <row r="21">
          <cell r="C21">
            <v>31239984.559999999</v>
          </cell>
        </row>
      </sheetData>
      <sheetData sheetId="1">
        <row r="49">
          <cell r="C49">
            <v>79392.240000000005</v>
          </cell>
        </row>
      </sheetData>
      <sheetData sheetId="2">
        <row r="45">
          <cell r="C45">
            <v>273762.51495000004</v>
          </cell>
        </row>
      </sheetData>
      <sheetData sheetId="3">
        <row r="3">
          <cell r="C3">
            <v>29842744.420000002</v>
          </cell>
          <cell r="D3">
            <v>468547.24</v>
          </cell>
          <cell r="F3">
            <v>158053.23000000001</v>
          </cell>
          <cell r="G3">
            <v>0</v>
          </cell>
          <cell r="I3">
            <v>0</v>
          </cell>
        </row>
      </sheetData>
      <sheetData sheetId="4">
        <row r="4">
          <cell r="V4">
            <v>25446348.330000002</v>
          </cell>
        </row>
        <row r="5">
          <cell r="V5">
            <v>2744005.4399999985</v>
          </cell>
        </row>
        <row r="6">
          <cell r="V6">
            <v>900000</v>
          </cell>
        </row>
      </sheetData>
    </sheetDataSet>
  </externalBook>
</externalLink>
</file>

<file path=xl/externalLinks/externalLink3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>
        <row r="3">
          <cell r="E3">
            <v>419410.27</v>
          </cell>
        </row>
      </sheetData>
      <sheetData sheetId="4"/>
    </sheetDataSet>
  </externalBook>
</externalLink>
</file>

<file path=xl/externalLinks/externalLink3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981</v>
          </cell>
        </row>
        <row r="21">
          <cell r="C21">
            <v>30790843.640000001</v>
          </cell>
        </row>
      </sheetData>
      <sheetData sheetId="1">
        <row r="49">
          <cell r="C49">
            <v>155142.57</v>
          </cell>
        </row>
      </sheetData>
      <sheetData sheetId="2">
        <row r="45">
          <cell r="C45">
            <v>268165.47235000005</v>
          </cell>
        </row>
      </sheetData>
      <sheetData sheetId="3">
        <row r="3">
          <cell r="C3">
            <v>29421594.079999998</v>
          </cell>
          <cell r="D3">
            <v>466653.5</v>
          </cell>
          <cell r="F3">
            <v>262401.63</v>
          </cell>
          <cell r="G3">
            <v>0</v>
          </cell>
          <cell r="I3">
            <v>30573.93</v>
          </cell>
        </row>
      </sheetData>
      <sheetData sheetId="4">
        <row r="4">
          <cell r="V4">
            <v>24997282.080000002</v>
          </cell>
        </row>
        <row r="5">
          <cell r="V5">
            <v>2681461.3099999982</v>
          </cell>
        </row>
        <row r="6">
          <cell r="V6">
            <v>900000</v>
          </cell>
        </row>
      </sheetData>
    </sheetDataSet>
  </externalBook>
</externalLink>
</file>

<file path=xl/externalLinks/externalLink3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/>
      <sheetData sheetId="2"/>
      <sheetData sheetId="3">
        <row r="3">
          <cell r="E3">
            <v>370910.93</v>
          </cell>
        </row>
        <row r="13">
          <cell r="M13">
            <v>0</v>
          </cell>
        </row>
      </sheetData>
      <sheetData sheetId="4"/>
    </sheetDataSet>
  </externalBook>
</externalLink>
</file>

<file path=xl/externalLinks/externalLink3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978</v>
          </cell>
        </row>
        <row r="21">
          <cell r="C21">
            <v>30572388.48</v>
          </cell>
        </row>
      </sheetData>
      <sheetData sheetId="1">
        <row r="49">
          <cell r="C49">
            <v>55542.32</v>
          </cell>
        </row>
      </sheetData>
      <sheetData sheetId="2">
        <row r="45">
          <cell r="C45">
            <v>265596.12210000004</v>
          </cell>
        </row>
      </sheetData>
      <sheetData sheetId="3">
        <row r="3">
          <cell r="C3">
            <v>29151934.420000002</v>
          </cell>
          <cell r="D3">
            <v>376948.15</v>
          </cell>
          <cell r="F3">
            <v>243954.38</v>
          </cell>
          <cell r="G3">
            <v>17997.080000000002</v>
          </cell>
          <cell r="I3">
            <v>30573.93</v>
          </cell>
        </row>
      </sheetData>
      <sheetData sheetId="4">
        <row r="4">
          <cell r="V4">
            <v>24778994.190000001</v>
          </cell>
        </row>
        <row r="5">
          <cell r="V5">
            <v>2656639.5099999984</v>
          </cell>
        </row>
        <row r="6">
          <cell r="V6">
            <v>900000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2002</v>
          </cell>
        </row>
      </sheetData>
      <sheetData sheetId="1">
        <row r="49">
          <cell r="C49">
            <v>51081.63</v>
          </cell>
        </row>
      </sheetData>
      <sheetData sheetId="2"/>
      <sheetData sheetId="3"/>
      <sheetData sheetId="4"/>
    </sheetDataSet>
  </externalBook>
</externalLink>
</file>

<file path=xl/externalLinks/externalLink3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/>
      <sheetData sheetId="2"/>
      <sheetData sheetId="3">
        <row r="3">
          <cell r="E3">
            <v>258465.77</v>
          </cell>
        </row>
        <row r="13">
          <cell r="M13">
            <v>0</v>
          </cell>
        </row>
      </sheetData>
      <sheetData sheetId="4"/>
    </sheetDataSet>
  </externalBook>
</externalLink>
</file>

<file path=xl/externalLinks/externalLink3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969</v>
          </cell>
        </row>
        <row r="21">
          <cell r="C21">
            <v>30165196.48</v>
          </cell>
        </row>
      </sheetData>
      <sheetData sheetId="1">
        <row r="49">
          <cell r="C49">
            <v>91320.63</v>
          </cell>
        </row>
      </sheetData>
      <sheetData sheetId="2">
        <row r="45">
          <cell r="C45">
            <v>261454.53641250002</v>
          </cell>
        </row>
      </sheetData>
      <sheetData sheetId="3">
        <row r="3">
          <cell r="C3">
            <v>29076510.430000003</v>
          </cell>
          <cell r="D3">
            <v>251322.1</v>
          </cell>
          <cell r="F3">
            <v>46961.96</v>
          </cell>
          <cell r="G3">
            <v>150933.31</v>
          </cell>
          <cell r="I3">
            <v>70653.42</v>
          </cell>
        </row>
      </sheetData>
      <sheetData sheetId="4">
        <row r="4">
          <cell r="V4">
            <v>24371848.050000001</v>
          </cell>
        </row>
        <row r="5">
          <cell r="V5">
            <v>2576098.2999999984</v>
          </cell>
        </row>
        <row r="6">
          <cell r="V6">
            <v>900000</v>
          </cell>
        </row>
      </sheetData>
    </sheetDataSet>
  </externalBook>
</externalLink>
</file>

<file path=xl/externalLinks/externalLink3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/>
      <sheetData sheetId="1" refreshError="1"/>
      <sheetData sheetId="2" refreshError="1"/>
      <sheetData sheetId="3" refreshError="1">
        <row r="3">
          <cell r="E3">
            <v>289865.56</v>
          </cell>
        </row>
        <row r="13">
          <cell r="M13">
            <v>0</v>
          </cell>
        </row>
      </sheetData>
      <sheetData sheetId="4" refreshError="1"/>
    </sheetDataSet>
  </externalBook>
</externalLink>
</file>

<file path=xl/externalLinks/externalLink3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969</v>
          </cell>
        </row>
        <row r="21">
          <cell r="C21">
            <v>30165196.48</v>
          </cell>
        </row>
      </sheetData>
      <sheetData sheetId="1">
        <row r="49">
          <cell r="C49">
            <v>91320.63</v>
          </cell>
        </row>
      </sheetData>
      <sheetData sheetId="2">
        <row r="45">
          <cell r="C45">
            <v>261454.53641250002</v>
          </cell>
        </row>
      </sheetData>
      <sheetData sheetId="3">
        <row r="3">
          <cell r="C3">
            <v>29076510.430000003</v>
          </cell>
          <cell r="D3">
            <v>251322.1</v>
          </cell>
          <cell r="E3">
            <v>217873.66</v>
          </cell>
          <cell r="F3">
            <v>46961.96</v>
          </cell>
          <cell r="G3">
            <v>150933.31</v>
          </cell>
          <cell r="I3">
            <v>70653.42</v>
          </cell>
        </row>
        <row r="13">
          <cell r="M13">
            <v>0</v>
          </cell>
        </row>
      </sheetData>
      <sheetData sheetId="4">
        <row r="4">
          <cell r="V4">
            <v>24371848.050000001</v>
          </cell>
        </row>
        <row r="5">
          <cell r="V5">
            <v>2576098.2999999984</v>
          </cell>
        </row>
        <row r="6">
          <cell r="V6">
            <v>900000</v>
          </cell>
        </row>
      </sheetData>
    </sheetDataSet>
  </externalBook>
</externalLink>
</file>

<file path=xl/externalLinks/externalLink3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966</v>
          </cell>
        </row>
        <row r="21">
          <cell r="C21">
            <v>30056161.68</v>
          </cell>
        </row>
      </sheetData>
      <sheetData sheetId="1">
        <row r="49">
          <cell r="C49">
            <v>26044.799999999999</v>
          </cell>
        </row>
      </sheetData>
      <sheetData sheetId="2">
        <row r="45">
          <cell r="C45">
            <v>258950.88553125004</v>
          </cell>
        </row>
      </sheetData>
      <sheetData sheetId="3">
        <row r="3">
          <cell r="C3">
            <v>28963402.079999998</v>
          </cell>
          <cell r="D3">
            <v>331833.65000000002</v>
          </cell>
          <cell r="E3">
            <v>112341.38</v>
          </cell>
          <cell r="F3">
            <v>146860.29999999999</v>
          </cell>
          <cell r="G3">
            <v>115588.05</v>
          </cell>
          <cell r="I3">
            <v>35360.03</v>
          </cell>
        </row>
        <row r="13">
          <cell r="M13">
            <v>0</v>
          </cell>
        </row>
      </sheetData>
      <sheetData sheetId="4">
        <row r="4">
          <cell r="V4">
            <v>24262978.66</v>
          </cell>
        </row>
        <row r="5">
          <cell r="V5">
            <v>2538213.0099999984</v>
          </cell>
        </row>
        <row r="6">
          <cell r="V6">
            <v>900000</v>
          </cell>
        </row>
      </sheetData>
    </sheetDataSet>
  </externalBook>
</externalLink>
</file>

<file path=xl/externalLinks/externalLink3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961</v>
          </cell>
        </row>
        <row r="21">
          <cell r="C21">
            <v>29808652.32</v>
          </cell>
        </row>
      </sheetData>
      <sheetData sheetId="1">
        <row r="49">
          <cell r="C49">
            <v>123941.55</v>
          </cell>
        </row>
      </sheetData>
      <sheetData sheetId="2">
        <row r="45">
          <cell r="C45">
            <v>257794.14826250001</v>
          </cell>
        </row>
      </sheetData>
      <sheetData sheetId="3">
        <row r="3">
          <cell r="C3">
            <v>28765973.539999999</v>
          </cell>
          <cell r="D3">
            <v>321444.14</v>
          </cell>
          <cell r="E3">
            <v>111345.41</v>
          </cell>
          <cell r="F3">
            <v>92254.73</v>
          </cell>
          <cell r="G3">
            <v>170981.28</v>
          </cell>
          <cell r="I3">
            <v>0</v>
          </cell>
        </row>
        <row r="13">
          <cell r="M13">
            <v>0</v>
          </cell>
        </row>
      </sheetData>
      <sheetData sheetId="4">
        <row r="4">
          <cell r="V4">
            <v>24019592.27</v>
          </cell>
        </row>
        <row r="5">
          <cell r="V5">
            <v>2506375.4999999986</v>
          </cell>
        </row>
        <row r="6">
          <cell r="V6">
            <v>900000</v>
          </cell>
        </row>
      </sheetData>
    </sheetDataSet>
  </externalBook>
</externalLink>
</file>

<file path=xl/externalLinks/externalLink3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957</v>
          </cell>
        </row>
        <row r="21">
          <cell r="C21">
            <v>29548285.539999999</v>
          </cell>
        </row>
      </sheetData>
      <sheetData sheetId="1">
        <row r="49">
          <cell r="C49">
            <v>134894.82</v>
          </cell>
        </row>
      </sheetData>
      <sheetData sheetId="2">
        <row r="45">
          <cell r="C45">
            <v>255208.16786875002</v>
          </cell>
        </row>
      </sheetData>
      <sheetData sheetId="3">
        <row r="3">
          <cell r="C3">
            <v>28501867.860000003</v>
          </cell>
          <cell r="D3">
            <v>394375.8</v>
          </cell>
          <cell r="E3">
            <v>92190.35</v>
          </cell>
          <cell r="F3">
            <v>46738.52</v>
          </cell>
          <cell r="G3">
            <v>70966.899999999994</v>
          </cell>
          <cell r="I3">
            <v>95549.19</v>
          </cell>
        </row>
        <row r="13">
          <cell r="M13">
            <v>0</v>
          </cell>
        </row>
      </sheetData>
      <sheetData sheetId="4">
        <row r="4">
          <cell r="V4">
            <v>23759281.789999999</v>
          </cell>
        </row>
        <row r="5">
          <cell r="V5">
            <v>2471051.9099999988</v>
          </cell>
        </row>
        <row r="6">
          <cell r="V6">
            <v>900000</v>
          </cell>
        </row>
      </sheetData>
    </sheetDataSet>
  </externalBook>
</externalLink>
</file>

<file path=xl/externalLinks/externalLink3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954</v>
          </cell>
        </row>
        <row r="21">
          <cell r="C21">
            <v>29418874.57</v>
          </cell>
        </row>
      </sheetData>
      <sheetData sheetId="1">
        <row r="49">
          <cell r="C49">
            <v>34199.29</v>
          </cell>
        </row>
      </sheetData>
      <sheetData sheetId="2">
        <row r="45">
          <cell r="C45">
            <v>252442.36901875</v>
          </cell>
        </row>
      </sheetData>
      <sheetData sheetId="3">
        <row r="3">
          <cell r="C3">
            <v>28194034.68</v>
          </cell>
          <cell r="D3">
            <v>519742.27</v>
          </cell>
          <cell r="E3">
            <v>145383.14000000001</v>
          </cell>
          <cell r="F3">
            <v>28917.48</v>
          </cell>
          <cell r="G3">
            <v>128734.78</v>
          </cell>
          <cell r="I3">
            <v>0</v>
          </cell>
        </row>
        <row r="13">
          <cell r="M13">
            <v>55469.7</v>
          </cell>
        </row>
      </sheetData>
      <sheetData sheetId="4">
        <row r="4">
          <cell r="V4">
            <v>23579004.73</v>
          </cell>
        </row>
        <row r="5">
          <cell r="V5">
            <v>2471051.9099999988</v>
          </cell>
        </row>
        <row r="6">
          <cell r="V6">
            <v>900000</v>
          </cell>
        </row>
      </sheetData>
    </sheetDataSet>
  </externalBook>
</externalLink>
</file>

<file path=xl/externalLinks/externalLink3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951</v>
          </cell>
        </row>
        <row r="21">
          <cell r="C21">
            <v>29276752.32</v>
          </cell>
        </row>
      </sheetData>
      <sheetData sheetId="1">
        <row r="49">
          <cell r="C49">
            <v>47625.84</v>
          </cell>
        </row>
      </sheetData>
      <sheetData sheetId="2">
        <row r="45">
          <cell r="C45">
            <v>250526.92525625002</v>
          </cell>
        </row>
      </sheetData>
      <sheetData sheetId="3">
        <row r="3">
          <cell r="C3">
            <v>28061693.210000001</v>
          </cell>
          <cell r="D3">
            <v>412026.22</v>
          </cell>
          <cell r="E3">
            <v>225473.84</v>
          </cell>
          <cell r="F3">
            <v>47701.599999999999</v>
          </cell>
          <cell r="G3">
            <v>89252.72</v>
          </cell>
          <cell r="I3">
            <v>53479.01</v>
          </cell>
        </row>
        <row r="13">
          <cell r="M13">
            <v>0</v>
          </cell>
        </row>
      </sheetData>
      <sheetData sheetId="4">
        <row r="4">
          <cell r="V4">
            <v>23447219.77</v>
          </cell>
        </row>
        <row r="5">
          <cell r="V5">
            <v>2432085.8599999989</v>
          </cell>
        </row>
        <row r="6">
          <cell r="V6">
            <v>900000</v>
          </cell>
        </row>
      </sheetData>
    </sheetDataSet>
  </externalBook>
</externalLink>
</file>

<file path=xl/externalLinks/externalLink3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940</v>
          </cell>
        </row>
        <row r="21">
          <cell r="C21">
            <v>28687929.579999998</v>
          </cell>
        </row>
      </sheetData>
      <sheetData sheetId="1">
        <row r="49">
          <cell r="C49">
            <v>154602.12</v>
          </cell>
        </row>
      </sheetData>
      <sheetData sheetId="2">
        <row r="45">
          <cell r="C45">
            <v>246727.36830625002</v>
          </cell>
        </row>
      </sheetData>
      <sheetData sheetId="3">
        <row r="3">
          <cell r="C3">
            <v>27201828.280000001</v>
          </cell>
          <cell r="D3">
            <v>651814.09</v>
          </cell>
          <cell r="E3">
            <v>320208.14</v>
          </cell>
          <cell r="F3">
            <v>92943.58</v>
          </cell>
          <cell r="G3">
            <v>84728.05</v>
          </cell>
          <cell r="I3">
            <v>17755.07</v>
          </cell>
        </row>
        <row r="13">
          <cell r="M13">
            <v>0</v>
          </cell>
        </row>
      </sheetData>
      <sheetData sheetId="4">
        <row r="4">
          <cell r="V4">
            <v>22926870.380000003</v>
          </cell>
        </row>
        <row r="5">
          <cell r="V5">
            <v>2292899.8399999989</v>
          </cell>
        </row>
        <row r="6">
          <cell r="V6">
            <v>900000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2001</v>
          </cell>
        </row>
        <row r="22">
          <cell r="C22">
            <v>42853210.520000003</v>
          </cell>
        </row>
      </sheetData>
      <sheetData sheetId="1">
        <row r="49">
          <cell r="C49">
            <v>8438.7999999999993</v>
          </cell>
        </row>
      </sheetData>
      <sheetData sheetId="2">
        <row r="46">
          <cell r="C46"/>
        </row>
        <row r="58">
          <cell r="C58">
            <v>0</v>
          </cell>
        </row>
      </sheetData>
      <sheetData sheetId="3">
        <row r="4">
          <cell r="C4">
            <v>40590796.059999995</v>
          </cell>
          <cell r="E4">
            <v>878065.94</v>
          </cell>
          <cell r="F4">
            <v>530938.98</v>
          </cell>
          <cell r="G4">
            <v>206262.95</v>
          </cell>
          <cell r="H4">
            <v>51801.39</v>
          </cell>
          <cell r="J4">
            <v>89116.62</v>
          </cell>
        </row>
      </sheetData>
      <sheetData sheetId="4">
        <row r="8">
          <cell r="V8">
            <v>34457599.669000022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3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933</v>
          </cell>
        </row>
        <row r="21">
          <cell r="C21">
            <v>28427276.420000002</v>
          </cell>
        </row>
      </sheetData>
      <sheetData sheetId="1">
        <row r="49">
          <cell r="C49">
            <v>124706.26</v>
          </cell>
        </row>
      </sheetData>
      <sheetData sheetId="2">
        <row r="45">
          <cell r="C45">
            <v>243597.99778750003</v>
          </cell>
        </row>
      </sheetData>
      <sheetData sheetId="3">
        <row r="3">
          <cell r="C3">
            <v>27103062.559999999</v>
          </cell>
          <cell r="D3">
            <v>530913.94999999995</v>
          </cell>
          <cell r="E3">
            <v>170805.59</v>
          </cell>
          <cell r="F3">
            <v>172946.19</v>
          </cell>
          <cell r="G3">
            <v>130895.76</v>
          </cell>
          <cell r="I3">
            <v>0</v>
          </cell>
        </row>
        <row r="13">
          <cell r="M13">
            <v>0</v>
          </cell>
        </row>
      </sheetData>
      <sheetData sheetId="4">
        <row r="4">
          <cell r="V4">
            <v>22666217.220000003</v>
          </cell>
        </row>
        <row r="5">
          <cell r="V5">
            <v>2246906.0299999989</v>
          </cell>
        </row>
        <row r="6">
          <cell r="V6">
            <v>900000</v>
          </cell>
        </row>
      </sheetData>
    </sheetDataSet>
  </externalBook>
</externalLink>
</file>

<file path=xl/externalLinks/externalLink3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>
        <row r="17">
          <cell r="C17">
            <v>933</v>
          </cell>
        </row>
        <row r="21">
          <cell r="C21">
            <v>28427276.420000002</v>
          </cell>
        </row>
      </sheetData>
      <sheetData sheetId="1" refreshError="1">
        <row r="49">
          <cell r="C49">
            <v>124706.26</v>
          </cell>
        </row>
      </sheetData>
      <sheetData sheetId="2" refreshError="1">
        <row r="45">
          <cell r="C45">
            <v>243597.99778750003</v>
          </cell>
        </row>
      </sheetData>
      <sheetData sheetId="3" refreshError="1">
        <row r="3">
          <cell r="C3">
            <v>27103062.559999999</v>
          </cell>
          <cell r="D3">
            <v>530913.94999999995</v>
          </cell>
          <cell r="E3">
            <v>170805.59</v>
          </cell>
          <cell r="F3">
            <v>172946.19</v>
          </cell>
          <cell r="G3">
            <v>130895.76</v>
          </cell>
          <cell r="I3">
            <v>0</v>
          </cell>
        </row>
        <row r="13">
          <cell r="M13">
            <v>0</v>
          </cell>
        </row>
      </sheetData>
      <sheetData sheetId="4" refreshError="1">
        <row r="4">
          <cell r="V4">
            <v>22666217.220000003</v>
          </cell>
        </row>
        <row r="5">
          <cell r="V5">
            <v>2246906.0299999989</v>
          </cell>
        </row>
        <row r="6">
          <cell r="V6">
            <v>900000</v>
          </cell>
        </row>
      </sheetData>
    </sheetDataSet>
  </externalBook>
</externalLink>
</file>

<file path=xl/externalLinks/externalLink3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2155</v>
          </cell>
        </row>
        <row r="22">
          <cell r="C22">
            <v>58837312.909999996</v>
          </cell>
          <cell r="E22">
            <v>6.3100000000000003E-2</v>
          </cell>
        </row>
      </sheetData>
      <sheetData sheetId="1">
        <row r="49">
          <cell r="C49">
            <v>131121.66</v>
          </cell>
        </row>
      </sheetData>
      <sheetData sheetId="2">
        <row r="31">
          <cell r="C31">
            <v>654826.12093143747</v>
          </cell>
        </row>
      </sheetData>
      <sheetData sheetId="3">
        <row r="4">
          <cell r="C4">
            <v>58076460.140000001</v>
          </cell>
          <cell r="E4">
            <v>549622.98</v>
          </cell>
          <cell r="F4">
            <v>185485.33</v>
          </cell>
          <cell r="G4">
            <v>25744.46</v>
          </cell>
          <cell r="H4">
            <v>0</v>
          </cell>
          <cell r="J4">
            <v>0</v>
          </cell>
        </row>
      </sheetData>
      <sheetData sheetId="4">
        <row r="8">
          <cell r="V8">
            <v>54142694.460000001</v>
          </cell>
        </row>
        <row r="9">
          <cell r="V9">
            <v>3600000</v>
          </cell>
        </row>
        <row r="10">
          <cell r="V10">
            <v>1200000</v>
          </cell>
        </row>
        <row r="51">
          <cell r="D51">
            <v>0</v>
          </cell>
        </row>
      </sheetData>
    </sheetDataSet>
  </externalBook>
</externalLink>
</file>

<file path=xl/externalLinks/externalLink3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2144</v>
          </cell>
        </row>
        <row r="22">
          <cell r="C22">
            <v>58323508.799999997</v>
          </cell>
          <cell r="E22">
            <v>6.3100000000000003E-2</v>
          </cell>
        </row>
      </sheetData>
      <sheetData sheetId="1">
        <row r="49">
          <cell r="C49">
            <v>257569.74</v>
          </cell>
        </row>
      </sheetData>
      <sheetData sheetId="2">
        <row r="31">
          <cell r="C31">
            <v>650727.50904112495</v>
          </cell>
        </row>
      </sheetData>
      <sheetData sheetId="3">
        <row r="4">
          <cell r="C4">
            <v>57313224.329999998</v>
          </cell>
          <cell r="E4">
            <v>786013.83</v>
          </cell>
          <cell r="F4">
            <v>194749.4</v>
          </cell>
          <cell r="G4">
            <v>29521.24</v>
          </cell>
          <cell r="H4">
            <v>0</v>
          </cell>
          <cell r="J4">
            <v>0</v>
          </cell>
        </row>
      </sheetData>
      <sheetData sheetId="4">
        <row r="8">
          <cell r="V8">
            <v>53564222.5</v>
          </cell>
        </row>
        <row r="9">
          <cell r="V9">
            <v>3600000</v>
          </cell>
        </row>
        <row r="10">
          <cell r="V10">
            <v>1200000</v>
          </cell>
        </row>
        <row r="51">
          <cell r="D51">
            <v>0</v>
          </cell>
        </row>
      </sheetData>
    </sheetDataSet>
  </externalBook>
</externalLink>
</file>

<file path=xl/externalLinks/externalLink3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2131</v>
          </cell>
        </row>
        <row r="22">
          <cell r="C22">
            <v>57886466.920000002</v>
          </cell>
          <cell r="E22">
            <v>6.3100000000000003E-2</v>
          </cell>
        </row>
      </sheetData>
      <sheetData sheetId="1">
        <row r="49">
          <cell r="C49">
            <v>257686.09</v>
          </cell>
        </row>
      </sheetData>
      <sheetData sheetId="2">
        <row r="31">
          <cell r="C31">
            <v>643774.99917187495</v>
          </cell>
        </row>
      </sheetData>
      <sheetData sheetId="3">
        <row r="4">
          <cell r="C4">
            <v>56709556.300000004</v>
          </cell>
          <cell r="E4">
            <v>800564.92</v>
          </cell>
          <cell r="F4">
            <v>358601.45</v>
          </cell>
          <cell r="G4">
            <v>0</v>
          </cell>
          <cell r="H4">
            <v>17744.25</v>
          </cell>
          <cell r="J4">
            <v>0</v>
          </cell>
        </row>
      </sheetData>
      <sheetData sheetId="4">
        <row r="8">
          <cell r="V8">
            <v>53097231.649999999</v>
          </cell>
        </row>
        <row r="9">
          <cell r="V9">
            <v>3600000</v>
          </cell>
        </row>
        <row r="10">
          <cell r="V10">
            <v>1200000</v>
          </cell>
        </row>
        <row r="51">
          <cell r="D51">
            <v>0</v>
          </cell>
        </row>
      </sheetData>
    </sheetDataSet>
  </externalBook>
</externalLink>
</file>

<file path=xl/externalLinks/externalLink3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2119</v>
          </cell>
        </row>
        <row r="22">
          <cell r="C22">
            <v>57409015.299999997</v>
          </cell>
          <cell r="E22">
            <v>6.3E-2</v>
          </cell>
        </row>
      </sheetData>
      <sheetData sheetId="1">
        <row r="49">
          <cell r="C49">
            <v>302939.33</v>
          </cell>
        </row>
      </sheetData>
      <sheetData sheetId="2">
        <row r="31">
          <cell r="C31">
            <v>638162.35289343738</v>
          </cell>
        </row>
      </sheetData>
      <sheetData sheetId="3">
        <row r="4">
          <cell r="C4">
            <v>56341425.440000005</v>
          </cell>
          <cell r="E4">
            <v>653066.43999999994</v>
          </cell>
          <cell r="F4">
            <v>332629.81</v>
          </cell>
          <cell r="G4">
            <v>64149.36</v>
          </cell>
          <cell r="H4">
            <v>0</v>
          </cell>
          <cell r="J4">
            <v>17744.25</v>
          </cell>
        </row>
      </sheetData>
      <sheetData sheetId="4">
        <row r="8">
          <cell r="V8">
            <v>52608941.949999996</v>
          </cell>
        </row>
        <row r="9">
          <cell r="V9">
            <v>3600000</v>
          </cell>
        </row>
        <row r="10">
          <cell r="V10">
            <v>1200000</v>
          </cell>
        </row>
        <row r="51">
          <cell r="D51">
            <v>0</v>
          </cell>
        </row>
      </sheetData>
    </sheetDataSet>
  </externalBook>
</externalLink>
</file>

<file path=xl/externalLinks/externalLink3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2106</v>
          </cell>
        </row>
        <row r="22">
          <cell r="C22">
            <v>56920284.039999999</v>
          </cell>
          <cell r="E22">
            <v>6.3E-2</v>
          </cell>
        </row>
      </sheetData>
      <sheetData sheetId="1">
        <row r="49">
          <cell r="C49">
            <v>318170.56</v>
          </cell>
        </row>
      </sheetData>
      <sheetData sheetId="2">
        <row r="31">
          <cell r="C31">
            <v>632293.72106156242</v>
          </cell>
        </row>
      </sheetData>
      <sheetData sheetId="3">
        <row r="4">
          <cell r="C4">
            <v>55629863.509999998</v>
          </cell>
          <cell r="E4">
            <v>805104.79</v>
          </cell>
          <cell r="F4">
            <v>307837.06</v>
          </cell>
          <cell r="G4">
            <v>143087.28</v>
          </cell>
          <cell r="H4">
            <v>16647.150000000001</v>
          </cell>
          <cell r="J4">
            <v>17744.25</v>
          </cell>
        </row>
      </sheetData>
      <sheetData sheetId="4">
        <row r="8">
          <cell r="V8">
            <v>52120210.689999998</v>
          </cell>
        </row>
        <row r="9">
          <cell r="V9">
            <v>3600000</v>
          </cell>
        </row>
        <row r="10">
          <cell r="V10">
            <v>1200000</v>
          </cell>
        </row>
        <row r="51">
          <cell r="D51">
            <v>0</v>
          </cell>
        </row>
      </sheetData>
    </sheetDataSet>
  </externalBook>
</externalLink>
</file>

<file path=xl/externalLinks/externalLink3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 refreshError="1">
        <row r="18">
          <cell r="C18">
            <v>2098</v>
          </cell>
        </row>
        <row r="22">
          <cell r="C22">
            <v>56482018.140000001</v>
          </cell>
          <cell r="E22">
            <v>6.2899999999999998E-2</v>
          </cell>
        </row>
      </sheetData>
      <sheetData sheetId="1" refreshError="1">
        <row r="49">
          <cell r="C49">
            <v>272929.31</v>
          </cell>
        </row>
      </sheetData>
      <sheetData sheetId="2" refreshError="1">
        <row r="31">
          <cell r="C31">
            <v>626419.78223043762</v>
          </cell>
        </row>
      </sheetData>
      <sheetData sheetId="3" refreshError="1">
        <row r="4">
          <cell r="C4">
            <v>55312437.560000002</v>
          </cell>
          <cell r="E4">
            <v>820300.88</v>
          </cell>
          <cell r="F4">
            <v>183393.83</v>
          </cell>
          <cell r="G4">
            <v>65005.15</v>
          </cell>
          <cell r="H4">
            <v>66489.320000000007</v>
          </cell>
          <cell r="J4">
            <v>16647.150000000001</v>
          </cell>
        </row>
      </sheetData>
      <sheetData sheetId="4" refreshError="1">
        <row r="8">
          <cell r="V8">
            <v>51664200.539999999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2090</v>
          </cell>
        </row>
        <row r="22">
          <cell r="C22">
            <v>56115496.350000001</v>
          </cell>
          <cell r="E22">
            <v>6.3E-2</v>
          </cell>
        </row>
      </sheetData>
      <sheetData sheetId="1">
        <row r="49">
          <cell r="C49">
            <v>205584.11</v>
          </cell>
        </row>
      </sheetData>
      <sheetData sheetId="2">
        <row r="31">
          <cell r="C31">
            <v>620939.1102401251</v>
          </cell>
        </row>
      </sheetData>
      <sheetData sheetId="3">
        <row r="4">
          <cell r="C4">
            <v>54838807.810000002</v>
          </cell>
          <cell r="E4">
            <v>897207.25</v>
          </cell>
          <cell r="F4">
            <v>270961.64</v>
          </cell>
          <cell r="G4">
            <v>60549.279999999999</v>
          </cell>
          <cell r="H4">
            <v>30226.12</v>
          </cell>
          <cell r="J4">
            <v>0</v>
          </cell>
        </row>
      </sheetData>
      <sheetData sheetId="4">
        <row r="8">
          <cell r="V8">
            <v>51279743.789999999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2083</v>
          </cell>
        </row>
        <row r="22">
          <cell r="C22">
            <v>55768911.189999998</v>
          </cell>
          <cell r="E22">
            <v>6.3E-2</v>
          </cell>
        </row>
      </sheetData>
      <sheetData sheetId="1">
        <row r="49">
          <cell r="C49">
            <v>171373.59</v>
          </cell>
        </row>
      </sheetData>
      <sheetData sheetId="2">
        <row r="31">
          <cell r="C31">
            <v>616318.42067606247</v>
          </cell>
        </row>
      </sheetData>
      <sheetData sheetId="3">
        <row r="4">
          <cell r="C4">
            <v>54367557.359999999</v>
          </cell>
          <cell r="E4">
            <v>976691.24</v>
          </cell>
          <cell r="F4">
            <v>365203.28</v>
          </cell>
          <cell r="G4">
            <v>41715.06</v>
          </cell>
          <cell r="H4">
            <v>0</v>
          </cell>
          <cell r="J4">
            <v>0</v>
          </cell>
        </row>
      </sheetData>
      <sheetData sheetId="4">
        <row r="8">
          <cell r="V8">
            <v>50915336.140000001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>
        <row r="18">
          <cell r="C18">
            <v>22420.7</v>
          </cell>
        </row>
      </sheetData>
      <sheetData sheetId="2"/>
      <sheetData sheetId="3"/>
      <sheetData sheetId="4"/>
    </sheetDataSet>
  </externalBook>
</externalLink>
</file>

<file path=xl/externalLinks/externalLink3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 refreshError="1">
        <row r="18">
          <cell r="C18">
            <v>2073</v>
          </cell>
        </row>
        <row r="22">
          <cell r="C22">
            <v>55360430.609999999</v>
          </cell>
          <cell r="E22">
            <v>6.3E-2</v>
          </cell>
        </row>
      </sheetData>
      <sheetData sheetId="1" refreshError="1">
        <row r="49">
          <cell r="C49">
            <v>180632.49</v>
          </cell>
        </row>
      </sheetData>
      <sheetData sheetId="2" refreshError="1">
        <row r="31">
          <cell r="C31">
            <v>611938.69623262517</v>
          </cell>
        </row>
      </sheetData>
      <sheetData sheetId="3" refreshError="1">
        <row r="4">
          <cell r="C4">
            <v>54047821.159999996</v>
          </cell>
          <cell r="E4">
            <v>882523.13</v>
          </cell>
          <cell r="F4">
            <v>367880.9</v>
          </cell>
          <cell r="G4">
            <v>44461.17</v>
          </cell>
          <cell r="H4">
            <v>0</v>
          </cell>
          <cell r="J4">
            <v>0</v>
          </cell>
        </row>
      </sheetData>
      <sheetData sheetId="4" refreshError="1">
        <row r="8">
          <cell r="V8">
            <v>50506751.619999997</v>
          </cell>
        </row>
        <row r="9">
          <cell r="V9">
            <v>3600000</v>
          </cell>
        </row>
        <row r="10">
          <cell r="V10">
            <v>1200000</v>
          </cell>
        </row>
        <row r="51">
          <cell r="D51"/>
        </row>
      </sheetData>
    </sheetDataSet>
  </externalBook>
</externalLink>
</file>

<file path=xl/externalLinks/externalLink3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 refreshError="1">
        <row r="18">
          <cell r="C18">
            <v>2059</v>
          </cell>
        </row>
        <row r="22">
          <cell r="C22">
            <v>54796872.740000002</v>
          </cell>
          <cell r="E22">
            <v>6.2899999999999998E-2</v>
          </cell>
        </row>
      </sheetData>
      <sheetData sheetId="1" refreshError="1">
        <row r="49">
          <cell r="C49">
            <v>377303.24</v>
          </cell>
        </row>
      </sheetData>
      <sheetData sheetId="2" refreshError="1">
        <row r="31">
          <cell r="C31">
            <v>599942.51816625008</v>
          </cell>
        </row>
      </sheetData>
      <sheetData sheetId="3" refreshError="1">
        <row r="4">
          <cell r="C4">
            <v>53434100.819999993</v>
          </cell>
          <cell r="E4">
            <v>801545.44</v>
          </cell>
          <cell r="F4">
            <v>456600.13</v>
          </cell>
          <cell r="G4">
            <v>82906.53</v>
          </cell>
          <cell r="H4">
            <v>3975.57</v>
          </cell>
          <cell r="J4">
            <v>0</v>
          </cell>
        </row>
      </sheetData>
      <sheetData sheetId="4" refreshError="1">
        <row r="8">
          <cell r="V8">
            <v>49917214.200000003</v>
          </cell>
        </row>
        <row r="9">
          <cell r="V9">
            <v>3600000</v>
          </cell>
        </row>
        <row r="10">
          <cell r="V10">
            <v>1200000</v>
          </cell>
        </row>
        <row r="51">
          <cell r="D51"/>
        </row>
      </sheetData>
    </sheetDataSet>
  </externalBook>
</externalLink>
</file>

<file path=xl/externalLinks/externalLink3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2051</v>
          </cell>
        </row>
        <row r="22">
          <cell r="C22">
            <v>54232634.109999999</v>
          </cell>
          <cell r="E22">
            <v>6.3E-2</v>
          </cell>
        </row>
      </sheetData>
      <sheetData sheetId="1">
        <row r="49">
          <cell r="C49">
            <v>245863.47</v>
          </cell>
        </row>
      </sheetData>
      <sheetData sheetId="2">
        <row r="31">
          <cell r="C31">
            <v>599942.51816625008</v>
          </cell>
        </row>
      </sheetData>
      <sheetData sheetId="3">
        <row r="4">
          <cell r="C4">
            <v>52735117.950000003</v>
          </cell>
          <cell r="E4">
            <v>1110821.8899999999</v>
          </cell>
          <cell r="F4">
            <v>352575.45</v>
          </cell>
          <cell r="G4">
            <v>154679.57999999999</v>
          </cell>
          <cell r="H4">
            <v>0</v>
          </cell>
          <cell r="J4">
            <v>0</v>
          </cell>
        </row>
      </sheetData>
      <sheetData sheetId="4">
        <row r="8">
          <cell r="V8">
            <v>49334964.870000012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/>
      <sheetData sheetId="4"/>
    </sheetDataSet>
  </externalBook>
</externalLink>
</file>

<file path=xl/externalLinks/externalLink3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2048</v>
          </cell>
        </row>
        <row r="22">
          <cell r="C22">
            <v>54159549.469999999</v>
          </cell>
          <cell r="E22">
            <v>6.3E-2</v>
          </cell>
        </row>
      </sheetData>
      <sheetData sheetId="1">
        <row r="49">
          <cell r="C49">
            <v>245863.47</v>
          </cell>
        </row>
      </sheetData>
      <sheetData sheetId="2">
        <row r="31">
          <cell r="C31">
            <v>0</v>
          </cell>
        </row>
        <row r="45">
          <cell r="C45">
            <v>594715.09542056278</v>
          </cell>
        </row>
      </sheetData>
      <sheetData sheetId="3">
        <row r="4">
          <cell r="C4">
            <v>52878895.400000006</v>
          </cell>
          <cell r="E4">
            <v>830070.89</v>
          </cell>
          <cell r="F4">
            <v>351551.99</v>
          </cell>
          <cell r="G4">
            <v>81286.94</v>
          </cell>
          <cell r="H4">
            <v>0</v>
          </cell>
          <cell r="J4">
            <v>0</v>
          </cell>
        </row>
      </sheetData>
      <sheetData sheetId="4">
        <row r="8">
          <cell r="V8">
            <v>49216636.920000009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/>
      <sheetData sheetId="4"/>
    </sheetDataSet>
  </externalBook>
</externalLink>
</file>

<file path=xl/externalLinks/externalLink3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  <sheetName val="Parts 7-10"/>
      <sheetName val="Parts 4 - 6 "/>
    </sheetNames>
    <sheetDataSet>
      <sheetData sheetId="0">
        <row r="18">
          <cell r="C18">
            <v>2047</v>
          </cell>
        </row>
        <row r="22">
          <cell r="C22">
            <v>54012391.390000001</v>
          </cell>
          <cell r="E22">
            <v>6.3E-2</v>
          </cell>
        </row>
      </sheetData>
      <sheetData sheetId="1">
        <row r="49">
          <cell r="C49">
            <v>12442.51</v>
          </cell>
        </row>
      </sheetData>
      <sheetData sheetId="2">
        <row r="31">
          <cell r="C31">
            <v>0</v>
          </cell>
        </row>
        <row r="45">
          <cell r="C45">
            <v>591522.45498225023</v>
          </cell>
        </row>
      </sheetData>
      <sheetData sheetId="3">
        <row r="4">
          <cell r="C4">
            <v>52786108.530000001</v>
          </cell>
          <cell r="E4">
            <v>776177.47</v>
          </cell>
          <cell r="F4">
            <v>302337.34000000003</v>
          </cell>
          <cell r="G4">
            <v>52712.43</v>
          </cell>
          <cell r="H4">
            <v>77311.37</v>
          </cell>
          <cell r="J4">
            <v>0</v>
          </cell>
        </row>
      </sheetData>
      <sheetData sheetId="4">
        <row r="8">
          <cell r="V8">
            <v>49002657.26000002</v>
          </cell>
        </row>
        <row r="9">
          <cell r="V9">
            <v>3600000</v>
          </cell>
        </row>
        <row r="10">
          <cell r="V10">
            <v>1200000</v>
          </cell>
        </row>
      </sheetData>
      <sheetData sheetId="5" refreshError="1"/>
      <sheetData sheetId="6" refreshError="1"/>
    </sheetDataSet>
  </externalBook>
</externalLink>
</file>

<file path=xl/externalLinks/externalLink3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  <sheetName val="Parts 7-10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/>
      <sheetData sheetId="4"/>
      <sheetData sheetId="5" refreshError="1"/>
    </sheetDataSet>
  </externalBook>
</externalLink>
</file>

<file path=xl/externalLinks/externalLink3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  <sheetName val="Part 2 - 3"/>
    </sheetNames>
    <sheetDataSet>
      <sheetData sheetId="0" refreshError="1">
        <row r="18">
          <cell r="C18">
            <v>2047</v>
          </cell>
        </row>
        <row r="22">
          <cell r="C22">
            <v>53835008.210000001</v>
          </cell>
          <cell r="E22">
            <v>6.3E-2</v>
          </cell>
        </row>
      </sheetData>
      <sheetData sheetId="1" refreshError="1">
        <row r="49">
          <cell r="C49">
            <v>0</v>
          </cell>
        </row>
      </sheetData>
      <sheetData sheetId="2" refreshError="1">
        <row r="31">
          <cell r="C31">
            <v>0</v>
          </cell>
        </row>
        <row r="45">
          <cell r="C45">
            <v>588950.68694362522</v>
          </cell>
        </row>
      </sheetData>
      <sheetData sheetId="3" refreshError="1">
        <row r="4">
          <cell r="C4">
            <v>52648893.329999998</v>
          </cell>
          <cell r="E4">
            <v>778212.55</v>
          </cell>
          <cell r="F4">
            <v>264414.86</v>
          </cell>
          <cell r="G4">
            <v>52935</v>
          </cell>
          <cell r="H4">
            <v>31964.13</v>
          </cell>
          <cell r="J4">
            <v>40844.089999999997</v>
          </cell>
        </row>
      </sheetData>
      <sheetData sheetId="4" refreshError="1">
        <row r="8">
          <cell r="V8">
            <v>48792486.600000024</v>
          </cell>
        </row>
        <row r="9">
          <cell r="V9">
            <v>3600000</v>
          </cell>
        </row>
        <row r="10">
          <cell r="V10">
            <v>1200000</v>
          </cell>
        </row>
      </sheetData>
      <sheetData sheetId="5" refreshError="1"/>
    </sheetDataSet>
  </externalBook>
</externalLink>
</file>

<file path=xl/externalLinks/externalLink3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/>
      <sheetData sheetId="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1981</v>
          </cell>
        </row>
      </sheetData>
      <sheetData sheetId="1">
        <row r="49">
          <cell r="C49">
            <v>8438.7999999999993</v>
          </cell>
        </row>
      </sheetData>
      <sheetData sheetId="2"/>
      <sheetData sheetId="3"/>
      <sheetData sheetId="4"/>
    </sheetDataSet>
  </externalBook>
</externalLink>
</file>

<file path=xl/externalLinks/externalLink3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2041</v>
          </cell>
        </row>
        <row r="22">
          <cell r="C22">
            <v>53304957.890000001</v>
          </cell>
          <cell r="E22">
            <v>6.2899999999999998E-2</v>
          </cell>
        </row>
      </sheetData>
      <sheetData sheetId="1">
        <row r="49">
          <cell r="C49">
            <v>173831.46</v>
          </cell>
        </row>
      </sheetData>
      <sheetData sheetId="2">
        <row r="45">
          <cell r="C45">
            <v>583354.84023356275</v>
          </cell>
        </row>
      </sheetData>
      <sheetData sheetId="3">
        <row r="4">
          <cell r="C4">
            <v>51955990.969999999</v>
          </cell>
          <cell r="E4">
            <v>900938.17</v>
          </cell>
          <cell r="F4">
            <v>286570.17</v>
          </cell>
          <cell r="G4">
            <v>17971.11</v>
          </cell>
          <cell r="H4">
            <v>3975.57</v>
          </cell>
          <cell r="J4">
            <v>64276.41</v>
          </cell>
        </row>
      </sheetData>
      <sheetData sheetId="4">
        <row r="8">
          <cell r="V8">
            <v>48200222.780000024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/>
      <sheetData sheetId="1">
        <row r="18">
          <cell r="C18">
            <v>40844.089999999997</v>
          </cell>
        </row>
      </sheetData>
      <sheetData sheetId="2"/>
      <sheetData sheetId="3"/>
      <sheetData sheetId="4"/>
    </sheetDataSet>
  </externalBook>
</externalLink>
</file>

<file path=xl/externalLinks/externalLink3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 refreshError="1">
        <row r="18">
          <cell r="C18">
            <v>2041</v>
          </cell>
        </row>
        <row r="22">
          <cell r="C22">
            <v>53304957.890000001</v>
          </cell>
          <cell r="E22">
            <v>6.2899999999999998E-2</v>
          </cell>
        </row>
      </sheetData>
      <sheetData sheetId="1" refreshError="1">
        <row r="49">
          <cell r="C49">
            <v>173831.46</v>
          </cell>
        </row>
      </sheetData>
      <sheetData sheetId="2" refreshError="1">
        <row r="45">
          <cell r="C45">
            <v>583354.84023356275</v>
          </cell>
        </row>
      </sheetData>
      <sheetData sheetId="3" refreshError="1">
        <row r="4">
          <cell r="C4">
            <v>51955990.969999999</v>
          </cell>
          <cell r="E4">
            <v>900938.17</v>
          </cell>
          <cell r="F4">
            <v>286570.17</v>
          </cell>
          <cell r="G4">
            <v>17971.11</v>
          </cell>
          <cell r="H4">
            <v>3975.57</v>
          </cell>
          <cell r="J4">
            <v>64276.41</v>
          </cell>
        </row>
      </sheetData>
      <sheetData sheetId="4" refreshError="1">
        <row r="8">
          <cell r="V8">
            <v>48200222.780000024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/>
      <sheetData sheetId="1">
        <row r="18">
          <cell r="C18">
            <v>30226.120000000003</v>
          </cell>
        </row>
      </sheetData>
      <sheetData sheetId="2"/>
      <sheetData sheetId="3"/>
      <sheetData sheetId="4"/>
    </sheetDataSet>
  </externalBook>
</externalLink>
</file>

<file path=xl/externalLinks/externalLink3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2030</v>
          </cell>
        </row>
        <row r="22">
          <cell r="C22">
            <v>52852297.909999996</v>
          </cell>
          <cell r="E22">
            <v>6.2899999999999998E-2</v>
          </cell>
        </row>
      </sheetData>
      <sheetData sheetId="1">
        <row r="49">
          <cell r="C49">
            <v>60827.13</v>
          </cell>
        </row>
      </sheetData>
      <sheetData sheetId="2">
        <row r="45">
          <cell r="C45">
            <v>575998.07297756267</v>
          </cell>
        </row>
      </sheetData>
      <sheetData sheetId="3">
        <row r="4">
          <cell r="C4">
            <v>50648738.840000004</v>
          </cell>
          <cell r="E4">
            <v>1387588.9</v>
          </cell>
          <cell r="F4">
            <v>529030.48</v>
          </cell>
          <cell r="G4">
            <v>138255.18</v>
          </cell>
          <cell r="H4">
            <v>15316.98</v>
          </cell>
          <cell r="J4">
            <v>9172.61</v>
          </cell>
        </row>
      </sheetData>
      <sheetData sheetId="4">
        <row r="8">
          <cell r="V8">
            <v>47698586.170000024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/>
      <sheetData sheetId="1">
        <row r="18">
          <cell r="C18">
            <v>54673.009999999995</v>
          </cell>
        </row>
      </sheetData>
      <sheetData sheetId="2"/>
      <sheetData sheetId="3"/>
      <sheetData sheetId="4"/>
    </sheetDataSet>
  </externalBook>
</externalLink>
</file>

<file path=xl/externalLinks/externalLink3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2022</v>
          </cell>
        </row>
        <row r="22">
          <cell r="C22">
            <v>52587958.93</v>
          </cell>
          <cell r="E22">
            <v>6.2899999999999998E-2</v>
          </cell>
        </row>
      </sheetData>
      <sheetData sheetId="1">
        <row r="49">
          <cell r="C49">
            <v>73134.87</v>
          </cell>
        </row>
      </sheetData>
      <sheetData sheetId="2">
        <row r="45">
          <cell r="C45">
            <v>573277.38253068784</v>
          </cell>
        </row>
      </sheetData>
      <sheetData sheetId="3">
        <row r="4">
          <cell r="C4">
            <v>50115330.840000004</v>
          </cell>
          <cell r="E4">
            <v>1457065.2</v>
          </cell>
          <cell r="F4">
            <v>605674.66</v>
          </cell>
          <cell r="G4">
            <v>238135.28</v>
          </cell>
          <cell r="H4">
            <v>38385.42</v>
          </cell>
          <cell r="J4">
            <v>0</v>
          </cell>
        </row>
      </sheetData>
      <sheetData sheetId="4">
        <row r="8">
          <cell r="V8">
            <v>47425034.060000025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/>
      <sheetData sheetId="4"/>
    </sheetDataSet>
  </externalBook>
</externalLink>
</file>

<file path=xl/externalLinks/externalLink3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 refreshError="1">
        <row r="18">
          <cell r="C18">
            <v>2022</v>
          </cell>
        </row>
        <row r="22">
          <cell r="C22">
            <v>52587958.93</v>
          </cell>
          <cell r="E22">
            <v>6.2899999999999998E-2</v>
          </cell>
        </row>
      </sheetData>
      <sheetData sheetId="1" refreshError="1">
        <row r="49">
          <cell r="C49">
            <v>73134.87</v>
          </cell>
        </row>
      </sheetData>
      <sheetData sheetId="2" refreshError="1">
        <row r="45">
          <cell r="C45">
            <v>573277.38253068784</v>
          </cell>
        </row>
      </sheetData>
      <sheetData sheetId="3" refreshError="1">
        <row r="4">
          <cell r="C4">
            <v>50115330.840000004</v>
          </cell>
          <cell r="E4">
            <v>1457065.2</v>
          </cell>
          <cell r="F4">
            <v>605674.66</v>
          </cell>
          <cell r="G4">
            <v>238135.28</v>
          </cell>
          <cell r="H4">
            <v>38385.42</v>
          </cell>
          <cell r="J4">
            <v>0</v>
          </cell>
        </row>
      </sheetData>
      <sheetData sheetId="4" refreshError="1">
        <row r="8">
          <cell r="V8">
            <v>47425034.060000025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/>
      <sheetData sheetId="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2001</v>
          </cell>
        </row>
        <row r="22">
          <cell r="C22">
            <v>41979991.240000002</v>
          </cell>
        </row>
      </sheetData>
      <sheetData sheetId="1">
        <row r="49">
          <cell r="C49">
            <v>8438.7999999999993</v>
          </cell>
        </row>
      </sheetData>
      <sheetData sheetId="2">
        <row r="46">
          <cell r="C46"/>
        </row>
        <row r="58">
          <cell r="C58">
            <v>0</v>
          </cell>
        </row>
      </sheetData>
      <sheetData sheetId="3">
        <row r="4">
          <cell r="C4">
            <v>40489518.439999998</v>
          </cell>
          <cell r="E4">
            <v>905237.15</v>
          </cell>
          <cell r="F4">
            <v>364618.49</v>
          </cell>
          <cell r="G4">
            <v>299325.98</v>
          </cell>
          <cell r="H4">
            <v>61735.07</v>
          </cell>
          <cell r="J4">
            <v>17746.990000000002</v>
          </cell>
        </row>
      </sheetData>
      <sheetData sheetId="4">
        <row r="8">
          <cell r="V8">
            <v>34457599.669000022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3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2013</v>
          </cell>
        </row>
        <row r="22">
          <cell r="C22">
            <v>52265120.090000004</v>
          </cell>
          <cell r="E22">
            <v>6.2799999999999995E-2</v>
          </cell>
        </row>
      </sheetData>
      <sheetData sheetId="1">
        <row r="49">
          <cell r="C49">
            <v>98173.46</v>
          </cell>
        </row>
      </sheetData>
      <sheetData sheetId="2">
        <row r="45">
          <cell r="C45">
            <v>569989.62810862518</v>
          </cell>
        </row>
      </sheetData>
      <sheetData sheetId="3">
        <row r="4">
          <cell r="C4">
            <v>50098905.25</v>
          </cell>
          <cell r="E4">
            <v>1123754.92</v>
          </cell>
          <cell r="F4">
            <v>654191.97</v>
          </cell>
          <cell r="G4">
            <v>132567.98000000001</v>
          </cell>
          <cell r="H4">
            <v>131505.04999999999</v>
          </cell>
          <cell r="J4">
            <v>0</v>
          </cell>
        </row>
      </sheetData>
      <sheetData sheetId="4">
        <row r="8">
          <cell r="V8">
            <v>47094450.490000017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/>
      <sheetData sheetId="4"/>
    </sheetDataSet>
  </externalBook>
</externalLink>
</file>

<file path=xl/externalLinks/externalLink3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 refreshError="1">
        <row r="18">
          <cell r="C18">
            <v>2009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 refreshError="1">
        <row r="22">
          <cell r="C22">
            <v>52056453.039999999</v>
          </cell>
          <cell r="E22">
            <v>6.2799999999999995E-2</v>
          </cell>
        </row>
      </sheetData>
      <sheetData sheetId="1" refreshError="1">
        <row r="49">
          <cell r="C49">
            <v>44873.61</v>
          </cell>
        </row>
      </sheetData>
      <sheetData sheetId="2" refreshError="1">
        <row r="45">
          <cell r="C45">
            <v>566016.42682668765</v>
          </cell>
        </row>
      </sheetData>
      <sheetData sheetId="3" refreshError="1">
        <row r="4">
          <cell r="C4">
            <v>49957717.399999999</v>
          </cell>
          <cell r="E4">
            <v>1192593.08</v>
          </cell>
          <cell r="F4">
            <v>438374.9</v>
          </cell>
          <cell r="G4">
            <v>200473.24</v>
          </cell>
          <cell r="H4">
            <v>71267.12</v>
          </cell>
          <cell r="J4">
            <v>71832.38</v>
          </cell>
        </row>
      </sheetData>
      <sheetData sheetId="4" refreshError="1">
        <row r="8">
          <cell r="V8">
            <v>46863219.670000017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/>
      <sheetData sheetId="4"/>
    </sheetDataSet>
  </externalBook>
</externalLink>
</file>

<file path=xl/externalLinks/externalLink3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 refreshError="1">
        <row r="18">
          <cell r="C18">
            <v>2005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22">
          <cell r="C22">
            <v>51813797.979999997</v>
          </cell>
          <cell r="E22">
            <v>6.2799999999999995E-2</v>
          </cell>
        </row>
      </sheetData>
      <sheetData sheetId="1">
        <row r="49">
          <cell r="C49">
            <v>90098.4</v>
          </cell>
        </row>
      </sheetData>
      <sheetData sheetId="2">
        <row r="45">
          <cell r="C45">
            <v>563237.32140881266</v>
          </cell>
        </row>
      </sheetData>
      <sheetData sheetId="3">
        <row r="4">
          <cell r="C4">
            <v>49568692.140000001</v>
          </cell>
          <cell r="E4">
            <v>1299848.27</v>
          </cell>
          <cell r="F4">
            <v>453245.88</v>
          </cell>
          <cell r="G4">
            <v>167736.53</v>
          </cell>
          <cell r="H4">
            <v>109612.41</v>
          </cell>
          <cell r="J4">
            <v>27084.85</v>
          </cell>
        </row>
      </sheetData>
      <sheetData sheetId="4">
        <row r="8">
          <cell r="V8">
            <v>46575286.51000002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/>
      <sheetData sheetId="1">
        <row r="18">
          <cell r="C18">
            <v>88412.5</v>
          </cell>
        </row>
      </sheetData>
      <sheetData sheetId="2"/>
      <sheetData sheetId="3"/>
      <sheetData sheetId="4"/>
    </sheetDataSet>
  </externalBook>
</externalLink>
</file>

<file path=xl/externalLinks/externalLink3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2002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 refreshError="1">
        <row r="22">
          <cell r="C22">
            <v>51571089.380000003</v>
          </cell>
          <cell r="E22">
            <v>6.2799999999999995E-2</v>
          </cell>
        </row>
      </sheetData>
      <sheetData sheetId="1" refreshError="1">
        <row r="49">
          <cell r="C49">
            <v>71870.289999999994</v>
          </cell>
        </row>
      </sheetData>
      <sheetData sheetId="2" refreshError="1">
        <row r="45">
          <cell r="C45">
            <v>559776.72474206274</v>
          </cell>
        </row>
      </sheetData>
      <sheetData sheetId="3" refreshError="1">
        <row r="4">
          <cell r="C4">
            <v>49315824.019999996</v>
          </cell>
          <cell r="E4">
            <v>1235988.27</v>
          </cell>
          <cell r="F4">
            <v>413200.81</v>
          </cell>
          <cell r="G4">
            <v>194346.19</v>
          </cell>
          <cell r="H4">
            <v>162585.89000000001</v>
          </cell>
          <cell r="J4">
            <v>58216.38</v>
          </cell>
        </row>
      </sheetData>
      <sheetData sheetId="4" refreshError="1">
        <row r="8">
          <cell r="V8">
            <v>46311123.110000022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/>
      <sheetData sheetId="2"/>
      <sheetData sheetId="3">
        <row r="15">
          <cell r="O15">
            <v>16054.51</v>
          </cell>
        </row>
      </sheetData>
      <sheetData sheetId="4"/>
    </sheetDataSet>
  </externalBook>
</externalLink>
</file>

<file path=xl/externalLinks/externalLink3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/>
      <sheetData sheetId="4"/>
    </sheetDataSet>
  </externalBook>
</externalLink>
</file>

<file path=xl/externalLinks/externalLink3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1997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 refreshError="1">
        <row r="22">
          <cell r="C22">
            <v>51335528.329999998</v>
          </cell>
          <cell r="E22">
            <v>6.2700000000000006E-2</v>
          </cell>
        </row>
      </sheetData>
      <sheetData sheetId="1" refreshError="1">
        <row r="49">
          <cell r="C49">
            <v>54179.360000000001</v>
          </cell>
        </row>
      </sheetData>
      <sheetData sheetId="2" refreshError="1">
        <row r="45">
          <cell r="C45">
            <v>556601.8108783128</v>
          </cell>
        </row>
      </sheetData>
      <sheetData sheetId="3" refreshError="1">
        <row r="4">
          <cell r="C4">
            <v>49128243.669999994</v>
          </cell>
          <cell r="E4">
            <v>1281083.67</v>
          </cell>
          <cell r="F4">
            <v>439238.5</v>
          </cell>
          <cell r="G4">
            <v>70880.83</v>
          </cell>
          <cell r="H4">
            <v>105703.45</v>
          </cell>
          <cell r="J4">
            <v>73941.62</v>
          </cell>
        </row>
      </sheetData>
      <sheetData sheetId="4" refreshError="1">
        <row r="8">
          <cell r="V8">
            <v>46030053.290000021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/>
      <sheetData sheetId="1">
        <row r="18">
          <cell r="C18">
            <v>29876.77</v>
          </cell>
        </row>
      </sheetData>
      <sheetData sheetId="2"/>
      <sheetData sheetId="3"/>
      <sheetData sheetId="4"/>
    </sheetDataSet>
  </externalBook>
</externalLink>
</file>

<file path=xl/externalLinks/externalLink3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1984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 refreshError="1">
        <row r="22">
          <cell r="C22">
            <v>50874737.710000001</v>
          </cell>
          <cell r="E22">
            <v>6.2700000000000006E-2</v>
          </cell>
        </row>
      </sheetData>
      <sheetData sheetId="1" refreshError="1">
        <row r="49">
          <cell r="C49">
            <v>182678.41</v>
          </cell>
        </row>
      </sheetData>
      <sheetData sheetId="2" refreshError="1">
        <row r="45">
          <cell r="C45">
            <v>553223.70297918771</v>
          </cell>
        </row>
      </sheetData>
      <sheetData sheetId="3" refreshError="1">
        <row r="4">
          <cell r="C4">
            <v>49037221.32</v>
          </cell>
          <cell r="E4">
            <v>974594.5</v>
          </cell>
          <cell r="F4">
            <v>420867.38</v>
          </cell>
          <cell r="G4">
            <v>127020.04</v>
          </cell>
          <cell r="H4">
            <v>53404.47</v>
          </cell>
          <cell r="J4">
            <v>11875.26</v>
          </cell>
        </row>
      </sheetData>
      <sheetData sheetId="4" refreshError="1">
        <row r="8">
          <cell r="V8">
            <v>45555774.820000023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/>
      <sheetData sheetId="1"/>
      <sheetData sheetId="2"/>
      <sheetData sheetId="3">
        <row r="15">
          <cell r="O15">
            <v>76432.2</v>
          </cell>
        </row>
      </sheetData>
      <sheetData sheetId="4"/>
    </sheetDataSet>
  </externalBook>
</externalLink>
</file>

<file path=xl/externalLinks/externalLink3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1976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 refreshError="1">
        <row r="22">
          <cell r="C22">
            <v>50625437.329999998</v>
          </cell>
          <cell r="E22">
            <v>6.2799999999999995E-2</v>
          </cell>
        </row>
      </sheetData>
      <sheetData sheetId="1" refreshError="1">
        <row r="49">
          <cell r="C49">
            <v>103636.46</v>
          </cell>
        </row>
      </sheetData>
      <sheetData sheetId="2" refreshError="1">
        <row r="45">
          <cell r="C45">
            <v>547523.46861787513</v>
          </cell>
        </row>
      </sheetData>
      <sheetData sheetId="3" refreshError="1">
        <row r="4">
          <cell r="C4">
            <v>48862473.82</v>
          </cell>
          <cell r="E4">
            <v>996604.23</v>
          </cell>
          <cell r="F4">
            <v>276926.58</v>
          </cell>
          <cell r="G4">
            <v>146086.82</v>
          </cell>
          <cell r="H4">
            <v>47138.62</v>
          </cell>
          <cell r="J4">
            <v>46452.52</v>
          </cell>
        </row>
      </sheetData>
      <sheetData sheetId="4" refreshError="1">
        <row r="8">
          <cell r="V8">
            <v>45306418.320000015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/>
      <sheetData sheetId="4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1997</v>
          </cell>
        </row>
      </sheetData>
      <sheetData sheetId="1">
        <row r="49">
          <cell r="C49">
            <v>27810.52</v>
          </cell>
        </row>
      </sheetData>
      <sheetData sheetId="2"/>
      <sheetData sheetId="3"/>
      <sheetData sheetId="4"/>
    </sheetDataSet>
  </externalBook>
</externalLink>
</file>

<file path=xl/externalLinks/externalLink3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1966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 refreshError="1">
        <row r="22">
          <cell r="C22">
            <v>50289540.07</v>
          </cell>
          <cell r="E22">
            <v>6.2700000000000006E-2</v>
          </cell>
        </row>
      </sheetData>
      <sheetData sheetId="1" refreshError="1">
        <row r="49">
          <cell r="C49">
            <v>197750.52</v>
          </cell>
        </row>
      </sheetData>
      <sheetData sheetId="2" refreshError="1">
        <row r="45">
          <cell r="C45">
            <v>544526.51518350013</v>
          </cell>
        </row>
      </sheetData>
      <sheetData sheetId="3" refreshError="1">
        <row r="4">
          <cell r="C4">
            <v>48574001.950000003</v>
          </cell>
          <cell r="E4">
            <v>892809.23</v>
          </cell>
          <cell r="F4">
            <v>338184.84</v>
          </cell>
          <cell r="G4">
            <v>134986.51</v>
          </cell>
          <cell r="H4">
            <v>105883.52</v>
          </cell>
          <cell r="J4">
            <v>11837.19</v>
          </cell>
        </row>
      </sheetData>
      <sheetData sheetId="4" refreshError="1">
        <row r="8">
          <cell r="V8">
            <v>44948965.880000018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/>
      <sheetData sheetId="4"/>
    </sheetDataSet>
  </externalBook>
</externalLink>
</file>

<file path=xl/externalLinks/externalLink3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1959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 refreshError="1">
        <row r="22">
          <cell r="C22">
            <v>50028229.630000003</v>
          </cell>
          <cell r="E22">
            <v>6.2799999999999995E-2</v>
          </cell>
        </row>
      </sheetData>
      <sheetData sheetId="1" refreshError="1">
        <row r="49">
          <cell r="C49">
            <v>106359.61</v>
          </cell>
        </row>
      </sheetData>
      <sheetData sheetId="2" refreshError="1">
        <row r="45">
          <cell r="C45">
            <v>540230.38367025007</v>
          </cell>
        </row>
      </sheetData>
      <sheetData sheetId="3" refreshError="1">
        <row r="4">
          <cell r="C4">
            <v>47186290.370000005</v>
          </cell>
          <cell r="E4">
            <v>1652475.31</v>
          </cell>
          <cell r="F4">
            <v>520390.96</v>
          </cell>
          <cell r="G4">
            <v>306037.34000000003</v>
          </cell>
          <cell r="H4">
            <v>82757.05</v>
          </cell>
          <cell r="J4">
            <v>48441.77</v>
          </cell>
        </row>
      </sheetData>
      <sheetData sheetId="4" refreshError="1">
        <row r="8">
          <cell r="V8">
            <v>44687401.940000013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/>
      <sheetData sheetId="4"/>
    </sheetDataSet>
  </externalBook>
</externalLink>
</file>

<file path=xl/externalLinks/externalLink3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1952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 refreshError="1">
        <row r="22">
          <cell r="C22">
            <v>49797226.25</v>
          </cell>
          <cell r="E22">
            <v>6.2799999999999995E-2</v>
          </cell>
        </row>
      </sheetData>
      <sheetData sheetId="1" refreshError="1">
        <row r="49">
          <cell r="C49">
            <v>82642.880000000005</v>
          </cell>
        </row>
      </sheetData>
      <sheetData sheetId="2" refreshError="1">
        <row r="45">
          <cell r="C45">
            <v>537086.71206637518</v>
          </cell>
        </row>
      </sheetData>
      <sheetData sheetId="3" refreshError="1">
        <row r="4">
          <cell r="C4">
            <v>46441606.100000001</v>
          </cell>
          <cell r="E4">
            <v>1974618.15</v>
          </cell>
          <cell r="F4">
            <v>854668.89</v>
          </cell>
          <cell r="G4">
            <v>161398.19</v>
          </cell>
          <cell r="H4">
            <v>79090.5</v>
          </cell>
          <cell r="J4">
            <v>29899.84</v>
          </cell>
        </row>
      </sheetData>
      <sheetData sheetId="4" refreshError="1">
        <row r="8">
          <cell r="V8">
            <v>44456349.580000013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/>
      <sheetData sheetId="1"/>
      <sheetData sheetId="2"/>
      <sheetData sheetId="3">
        <row r="14">
          <cell r="P14">
            <v>27468.23</v>
          </cell>
        </row>
      </sheetData>
      <sheetData sheetId="4"/>
    </sheetDataSet>
  </externalBook>
</externalLink>
</file>

<file path=xl/externalLinks/externalLink3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1940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1987</v>
          </cell>
        </row>
        <row r="22">
          <cell r="C22">
            <v>42545839.640000001</v>
          </cell>
        </row>
      </sheetData>
      <sheetData sheetId="1">
        <row r="49">
          <cell r="C49">
            <v>139670.26</v>
          </cell>
        </row>
      </sheetData>
      <sheetData sheetId="2">
        <row r="46">
          <cell r="C46"/>
        </row>
        <row r="58">
          <cell r="C58">
            <v>0</v>
          </cell>
        </row>
      </sheetData>
      <sheetData sheetId="3">
        <row r="4">
          <cell r="C4">
            <v>40170970.049999997</v>
          </cell>
          <cell r="E4">
            <v>963267.1</v>
          </cell>
          <cell r="F4">
            <v>469375.38</v>
          </cell>
          <cell r="G4">
            <v>244266.15</v>
          </cell>
          <cell r="H4">
            <v>111050.46</v>
          </cell>
          <cell r="J4">
            <v>34627.26</v>
          </cell>
        </row>
      </sheetData>
      <sheetData sheetId="4">
        <row r="8">
          <cell r="V8">
            <v>33398436.469000023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3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 refreshError="1">
        <row r="22">
          <cell r="C22">
            <v>49542601.909999996</v>
          </cell>
          <cell r="E22">
            <v>6.2799999999999995E-2</v>
          </cell>
        </row>
      </sheetData>
      <sheetData sheetId="1" refreshError="1">
        <row r="49">
          <cell r="C49">
            <v>122360.1</v>
          </cell>
        </row>
      </sheetData>
      <sheetData sheetId="2" refreshError="1">
        <row r="45">
          <cell r="C45">
            <v>534309.75151462515</v>
          </cell>
        </row>
      </sheetData>
      <sheetData sheetId="3" refreshError="1">
        <row r="4">
          <cell r="C4">
            <v>46090664.650000006</v>
          </cell>
          <cell r="E4">
            <v>1568639.09</v>
          </cell>
          <cell r="F4">
            <v>1223479.8799999999</v>
          </cell>
          <cell r="G4">
            <v>309850.06</v>
          </cell>
          <cell r="H4">
            <v>80568.61</v>
          </cell>
          <cell r="J4">
            <v>13455.04</v>
          </cell>
        </row>
      </sheetData>
      <sheetData sheetId="4" refreshError="1">
        <row r="8">
          <cell r="V8">
            <v>44155679.280000016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/>
      <sheetData sheetId="1"/>
      <sheetData sheetId="2"/>
      <sheetData sheetId="3">
        <row r="14">
          <cell r="P14">
            <v>0</v>
          </cell>
        </row>
      </sheetData>
      <sheetData sheetId="4"/>
    </sheetDataSet>
  </externalBook>
</externalLink>
</file>

<file path=xl/externalLinks/externalLink3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1940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 refreshError="1">
        <row r="22">
          <cell r="C22">
            <v>49330237.759999998</v>
          </cell>
          <cell r="E22">
            <v>6.2799999999999995E-2</v>
          </cell>
        </row>
      </sheetData>
      <sheetData sheetId="1" refreshError="1">
        <row r="49">
          <cell r="C49">
            <v>74675.490000000005</v>
          </cell>
        </row>
      </sheetData>
      <sheetData sheetId="2" refreshError="1">
        <row r="45">
          <cell r="C45">
            <v>530696.07034650026</v>
          </cell>
        </row>
      </sheetData>
      <sheetData sheetId="3" refreshError="1">
        <row r="4">
          <cell r="C4">
            <v>45663276.540000007</v>
          </cell>
          <cell r="E4">
            <v>1640957.99</v>
          </cell>
          <cell r="F4">
            <v>1189554.18</v>
          </cell>
          <cell r="G4">
            <v>384743.64</v>
          </cell>
          <cell r="H4">
            <v>161900.63</v>
          </cell>
          <cell r="J4">
            <v>20405.16</v>
          </cell>
        </row>
      </sheetData>
      <sheetData sheetId="4" refreshError="1">
        <row r="8">
          <cell r="V8">
            <v>43929860.090000011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/>
      <sheetData sheetId="1"/>
      <sheetData sheetId="2"/>
      <sheetData sheetId="3">
        <row r="14">
          <cell r="P14">
            <v>0</v>
          </cell>
        </row>
      </sheetData>
      <sheetData sheetId="4"/>
    </sheetDataSet>
  </externalBook>
</externalLink>
</file>

<file path=xl/externalLinks/externalLink3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1928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 refreshError="1">
        <row r="22">
          <cell r="C22">
            <v>49001970.939999998</v>
          </cell>
          <cell r="E22">
            <v>6.2899999999999998E-2</v>
          </cell>
        </row>
      </sheetData>
      <sheetData sheetId="1" refreshError="1">
        <row r="49">
          <cell r="C49">
            <v>203797.79</v>
          </cell>
        </row>
      </sheetData>
      <sheetData sheetId="2" refreshError="1">
        <row r="45">
          <cell r="C45">
            <v>530696.07034650026</v>
          </cell>
        </row>
      </sheetData>
      <sheetData sheetId="3" refreshError="1">
        <row r="4">
          <cell r="C4">
            <v>45138758.919999994</v>
          </cell>
          <cell r="E4">
            <v>1477036.63</v>
          </cell>
          <cell r="F4">
            <v>1238849.26</v>
          </cell>
          <cell r="G4">
            <v>566474.68000000005</v>
          </cell>
          <cell r="H4">
            <v>179360.5</v>
          </cell>
          <cell r="J4">
            <v>140089.82999999999</v>
          </cell>
        </row>
      </sheetData>
      <sheetData sheetId="4" refreshError="1">
        <row r="8">
          <cell r="V8">
            <v>43587621.06000001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 refreshError="1"/>
      <sheetData sheetId="1" refreshError="1"/>
      <sheetData sheetId="2" refreshError="1"/>
      <sheetData sheetId="3" refreshError="1">
        <row r="14">
          <cell r="P14">
            <v>22608.91</v>
          </cell>
        </row>
      </sheetData>
      <sheetData sheetId="4" refreshError="1"/>
    </sheetDataSet>
  </externalBook>
</externalLink>
</file>

<file path=xl/externalLinks/externalLink3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1928</v>
          </cell>
        </row>
        <row r="22">
          <cell r="C22">
            <v>48742255.270000003</v>
          </cell>
          <cell r="E22">
            <v>6.2899999999999998E-2</v>
          </cell>
        </row>
      </sheetData>
      <sheetData sheetId="1">
        <row r="49">
          <cell r="C49">
            <v>113874.8</v>
          </cell>
        </row>
      </sheetData>
      <sheetData sheetId="2">
        <row r="45">
          <cell r="C45">
            <v>523868.72061487514</v>
          </cell>
        </row>
      </sheetData>
      <sheetData sheetId="3">
        <row r="4">
          <cell r="C4">
            <v>44710697.020000003</v>
          </cell>
          <cell r="E4">
            <v>1756604.73</v>
          </cell>
          <cell r="F4">
            <v>1011207.81</v>
          </cell>
          <cell r="G4">
            <v>570104.93999999994</v>
          </cell>
          <cell r="H4">
            <v>235672.58</v>
          </cell>
          <cell r="J4">
            <v>140053.97</v>
          </cell>
        </row>
        <row r="14">
          <cell r="P14">
            <v>65972.290000000008</v>
          </cell>
        </row>
      </sheetData>
      <sheetData sheetId="4">
        <row r="8">
          <cell r="V8">
            <v>43275408.750000007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1924</v>
          </cell>
        </row>
        <row r="22">
          <cell r="C22">
            <v>48552027.890000001</v>
          </cell>
          <cell r="E22">
            <v>6.2799999999999995E-2</v>
          </cell>
        </row>
      </sheetData>
      <sheetData sheetId="1">
        <row r="49">
          <cell r="C49">
            <v>66375.320000000007</v>
          </cell>
        </row>
      </sheetData>
      <sheetData sheetId="2">
        <row r="45">
          <cell r="C45">
            <v>520116.31891406258</v>
          </cell>
        </row>
      </sheetData>
      <sheetData sheetId="3">
        <row r="4">
          <cell r="C4">
            <v>44534434.369999997</v>
          </cell>
          <cell r="E4">
            <v>1482147.85</v>
          </cell>
          <cell r="F4">
            <v>1108050.71</v>
          </cell>
          <cell r="G4">
            <v>719113.16</v>
          </cell>
          <cell r="H4">
            <v>133102.57999999999</v>
          </cell>
          <cell r="J4">
            <v>194864.96</v>
          </cell>
        </row>
        <row r="14">
          <cell r="P14">
            <v>77064.569999999992</v>
          </cell>
        </row>
      </sheetData>
      <sheetData sheetId="4">
        <row r="8">
          <cell r="V8">
            <v>43044838.550000004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/>
      <sheetData sheetId="4"/>
    </sheetDataSet>
  </externalBook>
</externalLink>
</file>

<file path=xl/externalLinks/externalLink3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1919</v>
          </cell>
        </row>
        <row r="22">
          <cell r="C22">
            <v>48335714.200000003</v>
          </cell>
          <cell r="E22">
            <v>6.2799999999999995E-2</v>
          </cell>
        </row>
      </sheetData>
      <sheetData sheetId="1">
        <row r="49">
          <cell r="C49">
            <v>52955.47</v>
          </cell>
        </row>
      </sheetData>
      <sheetData sheetId="2">
        <row r="45">
          <cell r="C45">
            <v>517345.15332281264</v>
          </cell>
        </row>
      </sheetData>
      <sheetData sheetId="3">
        <row r="4">
          <cell r="C4">
            <v>44037567.859999999</v>
          </cell>
          <cell r="E4">
            <v>1820370.15</v>
          </cell>
          <cell r="F4">
            <v>1124263.99</v>
          </cell>
          <cell r="G4">
            <v>501993.8</v>
          </cell>
          <cell r="H4">
            <v>219948.25</v>
          </cell>
          <cell r="J4">
            <v>111617.37</v>
          </cell>
        </row>
        <row r="14">
          <cell r="P14">
            <v>194660.89</v>
          </cell>
        </row>
      </sheetData>
      <sheetData sheetId="4">
        <row r="8">
          <cell r="V8">
            <v>42797510.270000003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1914</v>
          </cell>
        </row>
        <row r="22">
          <cell r="C22">
            <v>48072500.079999998</v>
          </cell>
        </row>
      </sheetData>
      <sheetData sheetId="1">
        <row r="49">
          <cell r="C49">
            <v>118145.02</v>
          </cell>
        </row>
      </sheetData>
      <sheetData sheetId="2">
        <row r="45">
          <cell r="C45">
            <v>514372.57655756251</v>
          </cell>
        </row>
      </sheetData>
      <sheetData sheetId="3">
        <row r="4">
          <cell r="C4">
            <v>44101284.779999994</v>
          </cell>
          <cell r="E4">
            <v>1575837.69</v>
          </cell>
          <cell r="F4">
            <v>1132966.27</v>
          </cell>
          <cell r="G4">
            <v>392086.68</v>
          </cell>
          <cell r="H4">
            <v>245119.95</v>
          </cell>
          <cell r="J4">
            <v>130672.51</v>
          </cell>
        </row>
        <row r="14">
          <cell r="P14">
            <v>0</v>
          </cell>
        </row>
      </sheetData>
      <sheetData sheetId="4">
        <row r="8">
          <cell r="V8">
            <v>42477500.480000004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1912</v>
          </cell>
        </row>
        <row r="22">
          <cell r="C22">
            <v>47876860.880000003</v>
          </cell>
        </row>
      </sheetData>
      <sheetData sheetId="1">
        <row r="49">
          <cell r="C49">
            <v>67202.84</v>
          </cell>
        </row>
      </sheetData>
      <sheetData sheetId="2">
        <row r="45">
          <cell r="C45">
            <v>510526.45889400004</v>
          </cell>
        </row>
      </sheetData>
      <sheetData sheetId="3">
        <row r="4">
          <cell r="C4">
            <v>43324029.390000001</v>
          </cell>
          <cell r="E4">
            <v>2144912.4</v>
          </cell>
          <cell r="F4">
            <v>1090493.82</v>
          </cell>
          <cell r="G4">
            <v>482197.87</v>
          </cell>
          <cell r="H4">
            <v>207596.88</v>
          </cell>
          <cell r="J4">
            <v>74183.649999999994</v>
          </cell>
        </row>
        <row r="14">
          <cell r="P14">
            <v>18983.990000000002</v>
          </cell>
        </row>
      </sheetData>
      <sheetData sheetId="4">
        <row r="8">
          <cell r="V8">
            <v>42247666.310000002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1906</v>
          </cell>
        </row>
        <row r="22">
          <cell r="C22">
            <v>47663228.340000004</v>
          </cell>
        </row>
      </sheetData>
      <sheetData sheetId="1">
        <row r="49">
          <cell r="C49">
            <v>78811.539999999994</v>
          </cell>
        </row>
      </sheetData>
      <sheetData sheetId="2">
        <row r="45">
          <cell r="C45">
            <v>514372.57655756251</v>
          </cell>
        </row>
      </sheetData>
      <sheetData sheetId="3">
        <row r="4">
          <cell r="C4">
            <v>43119842.359999992</v>
          </cell>
          <cell r="E4">
            <v>2285698.54</v>
          </cell>
          <cell r="F4">
            <v>1025619.18</v>
          </cell>
          <cell r="G4">
            <v>386135.94</v>
          </cell>
          <cell r="H4">
            <v>201287.41</v>
          </cell>
          <cell r="J4">
            <v>106419.09</v>
          </cell>
        </row>
        <row r="14">
          <cell r="P14">
            <v>0</v>
          </cell>
        </row>
      </sheetData>
      <sheetData sheetId="4">
        <row r="8">
          <cell r="V8">
            <v>41977551.800000004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1889</v>
          </cell>
        </row>
        <row r="22">
          <cell r="C22">
            <v>47211975.950000003</v>
          </cell>
        </row>
      </sheetData>
      <sheetData sheetId="1">
        <row r="49">
          <cell r="C49">
            <v>50140.66</v>
          </cell>
        </row>
      </sheetData>
      <sheetData sheetId="2">
        <row r="45">
          <cell r="C45">
            <v>514372.57655756251</v>
          </cell>
        </row>
      </sheetData>
      <sheetData sheetId="3">
        <row r="4">
          <cell r="C4">
            <v>42364310.380000003</v>
          </cell>
          <cell r="E4">
            <v>2068245.24</v>
          </cell>
          <cell r="F4">
            <v>1182754.46</v>
          </cell>
          <cell r="G4">
            <v>599512.81999999995</v>
          </cell>
          <cell r="H4">
            <v>271083.42</v>
          </cell>
          <cell r="J4">
            <v>142024.76</v>
          </cell>
        </row>
        <row r="14">
          <cell r="P14">
            <v>74109.010000000009</v>
          </cell>
        </row>
      </sheetData>
      <sheetData sheetId="4">
        <row r="8">
          <cell r="V8">
            <v>41474851.75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1876</v>
          </cell>
        </row>
        <row r="22">
          <cell r="C22">
            <v>46784263.490000002</v>
          </cell>
        </row>
      </sheetData>
      <sheetData sheetId="1">
        <row r="49">
          <cell r="C49">
            <v>259466.62</v>
          </cell>
        </row>
      </sheetData>
      <sheetData sheetId="2">
        <row r="45">
          <cell r="C45">
            <v>498475.8744703125</v>
          </cell>
        </row>
      </sheetData>
      <sheetData sheetId="3">
        <row r="4">
          <cell r="C4">
            <v>42147597.939999998</v>
          </cell>
          <cell r="E4">
            <v>2139122.7000000002</v>
          </cell>
          <cell r="F4">
            <v>1026470.53</v>
          </cell>
          <cell r="G4">
            <v>404088.05</v>
          </cell>
          <cell r="H4">
            <v>386315.95</v>
          </cell>
          <cell r="J4">
            <v>76595.53</v>
          </cell>
        </row>
        <row r="14">
          <cell r="P14">
            <v>57288.53</v>
          </cell>
        </row>
      </sheetData>
      <sheetData sheetId="4">
        <row r="8">
          <cell r="V8">
            <v>41027111.369999997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 refreshError="1">
        <row r="18">
          <cell r="C18">
            <v>1876</v>
          </cell>
        </row>
        <row r="22">
          <cell r="C22">
            <v>46784263.490000002</v>
          </cell>
        </row>
      </sheetData>
      <sheetData sheetId="1" refreshError="1">
        <row r="49">
          <cell r="C49">
            <v>259466.62</v>
          </cell>
        </row>
      </sheetData>
      <sheetData sheetId="2" refreshError="1">
        <row r="45">
          <cell r="C45">
            <v>498475.8744703125</v>
          </cell>
        </row>
      </sheetData>
      <sheetData sheetId="3" refreshError="1">
        <row r="4">
          <cell r="C4">
            <v>42147597.939999998</v>
          </cell>
          <cell r="E4">
            <v>2139122.7000000002</v>
          </cell>
          <cell r="F4">
            <v>1026470.53</v>
          </cell>
          <cell r="G4">
            <v>404088.05</v>
          </cell>
          <cell r="H4">
            <v>386315.95</v>
          </cell>
          <cell r="J4">
            <v>76595.53</v>
          </cell>
        </row>
        <row r="14">
          <cell r="P14">
            <v>57288.53</v>
          </cell>
        </row>
      </sheetData>
      <sheetData sheetId="4" refreshError="1">
        <row r="8">
          <cell r="V8">
            <v>41027111.369999997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"/>
    </sheetNames>
    <sheetDataSet>
      <sheetData sheetId="0">
        <row r="17">
          <cell r="C17">
            <v>832</v>
          </cell>
        </row>
        <row r="21">
          <cell r="C21">
            <v>39321496.509999998</v>
          </cell>
        </row>
        <row r="25">
          <cell r="E25">
            <v>7.5600000000000001E-2</v>
          </cell>
        </row>
      </sheetData>
      <sheetData sheetId="1">
        <row r="49">
          <cell r="C49">
            <v>0</v>
          </cell>
        </row>
      </sheetData>
      <sheetData sheetId="2">
        <row r="32">
          <cell r="C32">
            <v>459627.734990875</v>
          </cell>
        </row>
      </sheetData>
      <sheetData sheetId="3">
        <row r="3">
          <cell r="C3">
            <v>39096265.130000003</v>
          </cell>
          <cell r="D3">
            <v>213151.4</v>
          </cell>
          <cell r="E3">
            <v>12079.98</v>
          </cell>
          <cell r="F3">
            <v>0</v>
          </cell>
          <cell r="G3">
            <v>0</v>
          </cell>
          <cell r="I3">
            <v>0</v>
          </cell>
        </row>
      </sheetData>
      <sheetData sheetId="4">
        <row r="4">
          <cell r="V4">
            <v>34521491.070000008</v>
          </cell>
        </row>
        <row r="5">
          <cell r="V5">
            <v>4000000</v>
          </cell>
        </row>
        <row r="6">
          <cell r="V6">
            <v>800000</v>
          </cell>
        </row>
      </sheetData>
    </sheetDataSet>
  </externalBook>
</externalLink>
</file>

<file path=xl/externalLinks/externalLink3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"/>
    </sheetNames>
    <sheetDataSet>
      <sheetData sheetId="0">
        <row r="17">
          <cell r="C17">
            <v>826</v>
          </cell>
        </row>
        <row r="21">
          <cell r="C21">
            <v>38938652.990000002</v>
          </cell>
        </row>
        <row r="25">
          <cell r="E25">
            <v>7.5600000000000001E-2</v>
          </cell>
        </row>
      </sheetData>
      <sheetData sheetId="1">
        <row r="49">
          <cell r="C49">
            <v>0</v>
          </cell>
        </row>
      </sheetData>
      <sheetData sheetId="2">
        <row r="32">
          <cell r="C32">
            <v>452977.17967906257</v>
          </cell>
        </row>
      </sheetData>
      <sheetData sheetId="3">
        <row r="3">
          <cell r="C3">
            <v>38835371.850000001</v>
          </cell>
          <cell r="D3">
            <v>64926.04</v>
          </cell>
          <cell r="E3">
            <v>38355.1</v>
          </cell>
          <cell r="F3">
            <v>0</v>
          </cell>
          <cell r="G3">
            <v>0</v>
          </cell>
          <cell r="I3">
            <v>0</v>
          </cell>
        </row>
      </sheetData>
      <sheetData sheetId="4">
        <row r="4">
          <cell r="V4">
            <v>34138647.550000004</v>
          </cell>
        </row>
        <row r="5">
          <cell r="V5">
            <v>3981729.7</v>
          </cell>
        </row>
        <row r="6">
          <cell r="V6">
            <v>800000</v>
          </cell>
        </row>
      </sheetData>
    </sheetDataSet>
  </externalBook>
</externalLink>
</file>

<file path=xl/externalLinks/externalLink3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"/>
    </sheetNames>
    <sheetDataSet>
      <sheetData sheetId="0">
        <row r="17">
          <cell r="C17">
            <v>825</v>
          </cell>
        </row>
        <row r="21">
          <cell r="C21">
            <v>38797048.170000002</v>
          </cell>
        </row>
        <row r="25">
          <cell r="E25">
            <v>7.5600000000000001E-2</v>
          </cell>
        </row>
      </sheetData>
      <sheetData sheetId="1">
        <row r="49">
          <cell r="C49">
            <v>305.99</v>
          </cell>
        </row>
      </sheetData>
      <sheetData sheetId="2">
        <row r="32">
          <cell r="C32">
            <v>451098.26072368748</v>
          </cell>
        </row>
      </sheetData>
      <sheetData sheetId="3">
        <row r="3">
          <cell r="C3">
            <v>38518530.079999991</v>
          </cell>
          <cell r="D3">
            <v>234170.67</v>
          </cell>
          <cell r="E3">
            <v>44347.42</v>
          </cell>
          <cell r="F3">
            <v>0</v>
          </cell>
          <cell r="G3">
            <v>0</v>
          </cell>
          <cell r="I3">
            <v>0</v>
          </cell>
        </row>
      </sheetData>
      <sheetData sheetId="4">
        <row r="4">
          <cell r="V4">
            <v>33997042.730000004</v>
          </cell>
        </row>
        <row r="5">
          <cell r="V5">
            <v>3971089.81</v>
          </cell>
        </row>
        <row r="6">
          <cell r="V6">
            <v>800000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2106</v>
          </cell>
        </row>
        <row r="22">
          <cell r="C22">
            <v>47266646.189999998</v>
          </cell>
        </row>
      </sheetData>
      <sheetData sheetId="1">
        <row r="49">
          <cell r="C49">
            <v>348311.32</v>
          </cell>
        </row>
      </sheetData>
      <sheetData sheetId="2">
        <row r="46">
          <cell r="C46">
            <v>0</v>
          </cell>
        </row>
      </sheetData>
      <sheetData sheetId="3">
        <row r="4">
          <cell r="C4">
            <v>45688754.759999998</v>
          </cell>
          <cell r="E4">
            <v>888286.25</v>
          </cell>
          <cell r="F4">
            <v>258468.17</v>
          </cell>
          <cell r="G4">
            <v>136495.19</v>
          </cell>
          <cell r="H4">
            <v>43179.27</v>
          </cell>
          <cell r="J4">
            <v>12192.57</v>
          </cell>
        </row>
      </sheetData>
      <sheetData sheetId="4">
        <row r="8">
          <cell r="V8">
            <v>39405764.889000013</v>
          </cell>
        </row>
        <row r="9">
          <cell r="V9">
            <v>6000000</v>
          </cell>
        </row>
        <row r="10">
          <cell r="V10">
            <v>750000</v>
          </cell>
        </row>
        <row r="87">
          <cell r="L87">
            <v>0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1987</v>
          </cell>
        </row>
        <row r="22">
          <cell r="C22">
            <v>42187145.740000002</v>
          </cell>
        </row>
      </sheetData>
      <sheetData sheetId="1">
        <row r="49">
          <cell r="C49">
            <v>139670.26</v>
          </cell>
        </row>
      </sheetData>
      <sheetData sheetId="2">
        <row r="46">
          <cell r="C46"/>
        </row>
        <row r="58">
          <cell r="C58">
            <v>0</v>
          </cell>
        </row>
      </sheetData>
      <sheetData sheetId="3">
        <row r="4">
          <cell r="C4">
            <v>40293172.189999998</v>
          </cell>
          <cell r="E4">
            <v>654566.99</v>
          </cell>
          <cell r="F4">
            <v>369357.31</v>
          </cell>
          <cell r="G4">
            <v>262429.59999999998</v>
          </cell>
          <cell r="H4">
            <v>54457.919999999998</v>
          </cell>
          <cell r="J4">
            <v>36608.9</v>
          </cell>
        </row>
      </sheetData>
      <sheetData sheetId="4">
        <row r="8">
          <cell r="V8">
            <v>32462982.019000024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4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"/>
    </sheetNames>
    <sheetDataSet>
      <sheetData sheetId="0">
        <row r="17">
          <cell r="C17">
            <v>819</v>
          </cell>
        </row>
        <row r="21">
          <cell r="C21">
            <v>38339242.049999997</v>
          </cell>
        </row>
        <row r="25">
          <cell r="E25">
            <v>7.5600000000000001E-2</v>
          </cell>
        </row>
      </sheetData>
      <sheetData sheetId="1">
        <row r="49">
          <cell r="C49">
            <v>295366.94</v>
          </cell>
        </row>
      </sheetData>
      <sheetData sheetId="2">
        <row r="32">
          <cell r="C32">
            <v>445023.74576893752</v>
          </cell>
        </row>
      </sheetData>
      <sheetData sheetId="3">
        <row r="3">
          <cell r="C3">
            <v>37976790.329999998</v>
          </cell>
          <cell r="D3">
            <v>338164.06</v>
          </cell>
          <cell r="E3">
            <v>12079.98</v>
          </cell>
          <cell r="F3">
            <v>12207.68</v>
          </cell>
          <cell r="G3">
            <v>0</v>
          </cell>
          <cell r="I3">
            <v>0</v>
          </cell>
        </row>
      </sheetData>
      <sheetData sheetId="4">
        <row r="4">
          <cell r="V4">
            <v>33539236.610000003</v>
          </cell>
        </row>
        <row r="5">
          <cell r="V5">
            <v>3928924.09</v>
          </cell>
        </row>
        <row r="6">
          <cell r="V6">
            <v>800000</v>
          </cell>
        </row>
      </sheetData>
    </sheetDataSet>
  </externalBook>
</externalLink>
</file>

<file path=xl/externalLinks/externalLink4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  <sheetName val="Part 12 - 13 - Deemed Defaul"/>
    </sheetNames>
    <sheetDataSet>
      <sheetData sheetId="0">
        <row r="17">
          <cell r="C17">
            <v>817</v>
          </cell>
        </row>
        <row r="21">
          <cell r="C21">
            <v>38189144.700000003</v>
          </cell>
        </row>
        <row r="25">
          <cell r="E25">
            <v>7.5600000000000001E-2</v>
          </cell>
        </row>
      </sheetData>
      <sheetData sheetId="1">
        <row r="49">
          <cell r="C49">
            <v>81191.25</v>
          </cell>
        </row>
      </sheetData>
      <sheetData sheetId="2">
        <row r="32">
          <cell r="C32">
            <v>443032.14155612502</v>
          </cell>
        </row>
      </sheetData>
      <sheetData sheetId="3">
        <row r="3">
          <cell r="C3">
            <v>37792519.259999998</v>
          </cell>
          <cell r="D3">
            <v>276444.42</v>
          </cell>
          <cell r="E3">
            <v>95893.36</v>
          </cell>
          <cell r="F3">
            <v>12079.98</v>
          </cell>
          <cell r="G3">
            <v>12207.68</v>
          </cell>
          <cell r="I3">
            <v>0</v>
          </cell>
        </row>
      </sheetData>
      <sheetData sheetId="4">
        <row r="4">
          <cell r="V4">
            <v>33389139.260000002</v>
          </cell>
        </row>
        <row r="5">
          <cell r="V5">
            <v>3906523.5</v>
          </cell>
        </row>
        <row r="6">
          <cell r="V6">
            <v>800000</v>
          </cell>
        </row>
      </sheetData>
      <sheetData sheetId="5" refreshError="1"/>
    </sheetDataSet>
  </externalBook>
</externalLink>
</file>

<file path=xl/externalLinks/externalLink4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>
        <row r="17">
          <cell r="C17">
            <v>805</v>
          </cell>
        </row>
        <row r="21">
          <cell r="C21">
            <v>37605749.32</v>
          </cell>
        </row>
        <row r="25">
          <cell r="E25">
            <v>7.5600000000000001E-2</v>
          </cell>
        </row>
      </sheetData>
      <sheetData sheetId="1" refreshError="1">
        <row r="49">
          <cell r="C49">
            <v>432977.19</v>
          </cell>
        </row>
      </sheetData>
      <sheetData sheetId="2" refreshError="1">
        <row r="32">
          <cell r="C32">
            <v>435291.21410774998</v>
          </cell>
        </row>
      </sheetData>
      <sheetData sheetId="3" refreshError="1">
        <row r="3">
          <cell r="C3">
            <v>37053397.709999993</v>
          </cell>
          <cell r="D3">
            <v>435358.04</v>
          </cell>
          <cell r="E3">
            <v>49943.89</v>
          </cell>
          <cell r="F3">
            <v>54842</v>
          </cell>
          <cell r="G3">
            <v>12207.68</v>
          </cell>
          <cell r="I3">
            <v>0</v>
          </cell>
        </row>
      </sheetData>
      <sheetData sheetId="4" refreshError="1">
        <row r="4">
          <cell r="V4">
            <v>32805743.880000003</v>
          </cell>
        </row>
        <row r="5">
          <cell r="V5">
            <v>3884435.4</v>
          </cell>
        </row>
        <row r="6">
          <cell r="V6">
            <v>800000</v>
          </cell>
        </row>
        <row r="36">
          <cell r="L36"/>
        </row>
      </sheetData>
    </sheetDataSet>
  </externalBook>
</externalLink>
</file>

<file path=xl/externalLinks/externalLink4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799</v>
          </cell>
        </row>
        <row r="21">
          <cell r="C21">
            <v>36935736.060000002</v>
          </cell>
        </row>
        <row r="25">
          <cell r="E25">
            <v>7.5600000000000001E-2</v>
          </cell>
        </row>
      </sheetData>
      <sheetData sheetId="1">
        <row r="49">
          <cell r="C49">
            <v>296608.37</v>
          </cell>
        </row>
      </sheetData>
      <sheetData sheetId="2">
        <row r="32">
          <cell r="C32">
            <v>426400.97566412494</v>
          </cell>
        </row>
      </sheetData>
      <sheetData sheetId="3">
        <row r="3">
          <cell r="C3">
            <v>36386810.710000001</v>
          </cell>
          <cell r="D3">
            <v>375060.62</v>
          </cell>
          <cell r="E3">
            <v>71676.81</v>
          </cell>
          <cell r="F3">
            <v>47345.919999999998</v>
          </cell>
          <cell r="G3">
            <v>54842</v>
          </cell>
          <cell r="I3">
            <v>0</v>
          </cell>
        </row>
      </sheetData>
      <sheetData sheetId="4">
        <row r="4">
          <cell r="V4">
            <v>32135730.620000001</v>
          </cell>
        </row>
        <row r="5">
          <cell r="V5">
            <v>3835267.73</v>
          </cell>
        </row>
        <row r="6">
          <cell r="V6">
            <v>800000</v>
          </cell>
        </row>
        <row r="36">
          <cell r="L36"/>
        </row>
      </sheetData>
    </sheetDataSet>
  </externalBook>
</externalLink>
</file>

<file path=xl/externalLinks/externalLink4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>
        <row r="17">
          <cell r="C17">
            <v>791</v>
          </cell>
        </row>
        <row r="21">
          <cell r="C21">
            <v>36935736.060000002</v>
          </cell>
        </row>
        <row r="25">
          <cell r="E25">
            <v>7.5600000000000001E-2</v>
          </cell>
        </row>
      </sheetData>
      <sheetData sheetId="1" refreshError="1">
        <row r="49">
          <cell r="C49">
            <v>296608.37</v>
          </cell>
        </row>
      </sheetData>
      <sheetData sheetId="2" refreshError="1">
        <row r="32">
          <cell r="C32">
            <v>426400.97566412494</v>
          </cell>
        </row>
      </sheetData>
      <sheetData sheetId="3" refreshError="1">
        <row r="3">
          <cell r="C3">
            <v>36386810.710000001</v>
          </cell>
          <cell r="D3">
            <v>375060.62</v>
          </cell>
          <cell r="E3">
            <v>71676.81</v>
          </cell>
          <cell r="F3">
            <v>47345.919999999998</v>
          </cell>
          <cell r="G3">
            <v>54842</v>
          </cell>
          <cell r="I3">
            <v>0</v>
          </cell>
        </row>
      </sheetData>
      <sheetData sheetId="4" refreshError="1">
        <row r="4">
          <cell r="V4">
            <v>32135730.620000001</v>
          </cell>
        </row>
        <row r="5">
          <cell r="V5">
            <v>3835267.73</v>
          </cell>
        </row>
        <row r="6">
          <cell r="V6">
            <v>800000</v>
          </cell>
        </row>
        <row r="36">
          <cell r="L36"/>
        </row>
      </sheetData>
    </sheetDataSet>
  </externalBook>
</externalLink>
</file>

<file path=xl/externalLinks/externalLink4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>
        <row r="17">
          <cell r="C17">
            <v>781</v>
          </cell>
        </row>
        <row r="21">
          <cell r="C21">
            <v>36548202.689999998</v>
          </cell>
        </row>
        <row r="25">
          <cell r="E25">
            <v>7.5499999999999998E-2</v>
          </cell>
        </row>
      </sheetData>
      <sheetData sheetId="1" refreshError="1">
        <row r="49">
          <cell r="C49">
            <v>308702.3</v>
          </cell>
        </row>
      </sheetData>
      <sheetData sheetId="2" refreshError="1">
        <row r="32">
          <cell r="C32">
            <v>421258.89226093754</v>
          </cell>
        </row>
      </sheetData>
      <sheetData sheetId="3" refreshError="1">
        <row r="3">
          <cell r="C3">
            <v>35934841.270000003</v>
          </cell>
          <cell r="D3">
            <v>440817.47</v>
          </cell>
          <cell r="E3">
            <v>81829.72</v>
          </cell>
          <cell r="F3">
            <v>11975.39</v>
          </cell>
          <cell r="G3">
            <v>23896.84</v>
          </cell>
          <cell r="I3">
            <v>54842</v>
          </cell>
        </row>
      </sheetData>
      <sheetData sheetId="4" refreshError="1">
        <row r="4">
          <cell r="V4">
            <v>31748197.25</v>
          </cell>
        </row>
        <row r="5">
          <cell r="V5">
            <v>3803389.6</v>
          </cell>
        </row>
        <row r="6">
          <cell r="V6">
            <v>800000</v>
          </cell>
        </row>
        <row r="36">
          <cell r="L36"/>
        </row>
      </sheetData>
    </sheetDataSet>
  </externalBook>
</externalLink>
</file>

<file path=xl/externalLinks/externalLink4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776</v>
          </cell>
        </row>
        <row r="21">
          <cell r="C21">
            <v>36304212.590000004</v>
          </cell>
        </row>
        <row r="25">
          <cell r="E25">
            <v>7.5499999999999998E-2</v>
          </cell>
        </row>
      </sheetData>
      <sheetData sheetId="1">
        <row r="49">
          <cell r="C49">
            <v>157593.79999999999</v>
          </cell>
        </row>
      </sheetData>
      <sheetData sheetId="2">
        <row r="32">
          <cell r="C32">
            <v>418021.44862156245</v>
          </cell>
        </row>
      </sheetData>
      <sheetData sheetId="3">
        <row r="3">
          <cell r="C3">
            <v>35823300.380000003</v>
          </cell>
          <cell r="D3">
            <v>321831.86</v>
          </cell>
          <cell r="E3">
            <v>135183.51</v>
          </cell>
          <cell r="F3">
            <v>23896.84</v>
          </cell>
          <cell r="G3">
            <v>0</v>
          </cell>
          <cell r="I3">
            <v>0</v>
          </cell>
        </row>
      </sheetData>
      <sheetData sheetId="4">
        <row r="4">
          <cell r="V4">
            <v>31504207.149999999</v>
          </cell>
        </row>
        <row r="5">
          <cell r="V5">
            <v>3763632.67</v>
          </cell>
        </row>
        <row r="6">
          <cell r="V6">
            <v>800000</v>
          </cell>
        </row>
        <row r="36">
          <cell r="L36"/>
        </row>
      </sheetData>
    </sheetDataSet>
  </externalBook>
</externalLink>
</file>

<file path=xl/externalLinks/externalLink4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769</v>
          </cell>
        </row>
        <row r="21">
          <cell r="C21">
            <v>35996666.710000001</v>
          </cell>
        </row>
        <row r="25">
          <cell r="E25">
            <v>7.5499999999999998E-2</v>
          </cell>
        </row>
      </sheetData>
      <sheetData sheetId="1">
        <row r="49">
          <cell r="C49">
            <v>185585.52</v>
          </cell>
        </row>
      </sheetData>
      <sheetData sheetId="2">
        <row r="32">
          <cell r="C32">
            <v>413940.69922631246</v>
          </cell>
        </row>
      </sheetData>
      <sheetData sheetId="3">
        <row r="3">
          <cell r="C3">
            <v>35394057.670000002</v>
          </cell>
          <cell r="D3">
            <v>426211.55</v>
          </cell>
          <cell r="E3">
            <v>96716.66</v>
          </cell>
          <cell r="F3">
            <v>79680.83</v>
          </cell>
          <cell r="G3">
            <v>0</v>
          </cell>
          <cell r="I3">
            <v>0</v>
          </cell>
        </row>
      </sheetData>
      <sheetData sheetId="4">
        <row r="4">
          <cell r="V4">
            <v>31196661.27</v>
          </cell>
        </row>
        <row r="5">
          <cell r="V5">
            <v>3749303.11</v>
          </cell>
        </row>
        <row r="6">
          <cell r="V6">
            <v>800000</v>
          </cell>
        </row>
        <row r="36">
          <cell r="L36"/>
        </row>
      </sheetData>
    </sheetDataSet>
  </externalBook>
</externalLink>
</file>

<file path=xl/externalLinks/externalLink4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768</v>
          </cell>
        </row>
        <row r="21">
          <cell r="C21">
            <v>35841507.060000002</v>
          </cell>
        </row>
        <row r="25">
          <cell r="E25">
            <v>7.5499999999999998E-2</v>
          </cell>
        </row>
      </sheetData>
      <sheetData sheetId="1">
        <row r="49">
          <cell r="C49">
            <v>277.48</v>
          </cell>
        </row>
      </sheetData>
      <sheetData sheetId="2">
        <row r="32">
          <cell r="C32">
            <v>0</v>
          </cell>
        </row>
        <row r="45">
          <cell r="C45">
            <v>411881.92462037498</v>
          </cell>
        </row>
      </sheetData>
      <sheetData sheetId="3">
        <row r="3">
          <cell r="C3">
            <v>35273553.239999995</v>
          </cell>
          <cell r="D3">
            <v>391556.32</v>
          </cell>
          <cell r="E3">
            <v>176397.5</v>
          </cell>
          <cell r="F3">
            <v>0</v>
          </cell>
          <cell r="G3">
            <v>0</v>
          </cell>
          <cell r="I3">
            <v>0</v>
          </cell>
        </row>
      </sheetData>
      <sheetData sheetId="4">
        <row r="4">
          <cell r="V4">
            <v>31041501.620000001</v>
          </cell>
        </row>
        <row r="5">
          <cell r="V5">
            <v>3717166.02</v>
          </cell>
        </row>
        <row r="6">
          <cell r="V6">
            <v>800000</v>
          </cell>
        </row>
        <row r="36">
          <cell r="L36"/>
        </row>
      </sheetData>
    </sheetDataSet>
  </externalBook>
</externalLink>
</file>

<file path=xl/externalLinks/externalLink4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768</v>
          </cell>
        </row>
        <row r="21">
          <cell r="C21">
            <v>35774914.920000002</v>
          </cell>
        </row>
        <row r="25">
          <cell r="E25">
            <v>7.5499999999999998E-2</v>
          </cell>
        </row>
      </sheetData>
      <sheetData sheetId="1">
        <row r="49">
          <cell r="C49">
            <v>0</v>
          </cell>
        </row>
      </sheetData>
      <sheetData sheetId="2">
        <row r="32">
          <cell r="C32">
            <v>0</v>
          </cell>
        </row>
        <row r="45">
          <cell r="C45">
            <v>410998.33016274997</v>
          </cell>
        </row>
      </sheetData>
      <sheetData sheetId="3">
        <row r="3">
          <cell r="C3">
            <v>35228804.729999997</v>
          </cell>
          <cell r="D3">
            <v>399005.22</v>
          </cell>
          <cell r="E3">
            <v>106053.6</v>
          </cell>
          <cell r="F3">
            <v>41051.370000000003</v>
          </cell>
          <cell r="G3">
            <v>0</v>
          </cell>
          <cell r="I3">
            <v>0</v>
          </cell>
        </row>
      </sheetData>
      <sheetData sheetId="4">
        <row r="4">
          <cell r="V4">
            <v>30974909.48</v>
          </cell>
        </row>
        <row r="5">
          <cell r="V5">
            <v>3683588.44</v>
          </cell>
        </row>
        <row r="6">
          <cell r="V6">
            <v>800000</v>
          </cell>
        </row>
        <row r="36">
          <cell r="L36"/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>
        <row r="18">
          <cell r="C18">
            <v>16054.51</v>
          </cell>
        </row>
      </sheetData>
      <sheetData sheetId="2"/>
      <sheetData sheetId="3"/>
      <sheetData sheetId="4"/>
    </sheetDataSet>
  </externalBook>
</externalLink>
</file>

<file path=xl/externalLinks/externalLink4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768</v>
          </cell>
        </row>
        <row r="21">
          <cell r="C21">
            <v>35704808.560000002</v>
          </cell>
        </row>
        <row r="25">
          <cell r="E25">
            <v>7.5499999999999998E-2</v>
          </cell>
        </row>
      </sheetData>
      <sheetData sheetId="1">
        <row r="49">
          <cell r="C49">
            <v>0</v>
          </cell>
        </row>
      </sheetData>
      <sheetData sheetId="2">
        <row r="32">
          <cell r="C32">
            <v>0</v>
          </cell>
        </row>
        <row r="45">
          <cell r="C45">
            <v>410068.10639849998</v>
          </cell>
        </row>
      </sheetData>
      <sheetData sheetId="3">
        <row r="3">
          <cell r="C3">
            <v>35070419.439999998</v>
          </cell>
          <cell r="D3">
            <v>487284.15</v>
          </cell>
          <cell r="E3">
            <v>106053.6</v>
          </cell>
          <cell r="F3">
            <v>17154.52</v>
          </cell>
          <cell r="G3">
            <v>23896.85</v>
          </cell>
          <cell r="I3">
            <v>0</v>
          </cell>
        </row>
      </sheetData>
      <sheetData sheetId="4">
        <row r="4">
          <cell r="V4">
            <v>30904803.120000001</v>
          </cell>
        </row>
        <row r="5">
          <cell r="V5">
            <v>3661008.12</v>
          </cell>
        </row>
        <row r="6">
          <cell r="V6">
            <v>800000</v>
          </cell>
        </row>
        <row r="36">
          <cell r="L36"/>
        </row>
      </sheetData>
    </sheetDataSet>
  </externalBook>
</externalLink>
</file>

<file path=xl/externalLinks/externalLink4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>
        <row r="17">
          <cell r="C17">
            <v>764</v>
          </cell>
        </row>
        <row r="21">
          <cell r="C21">
            <v>35391377.719999999</v>
          </cell>
        </row>
        <row r="25">
          <cell r="E25">
            <v>7.5499999999999998E-2</v>
          </cell>
        </row>
      </sheetData>
      <sheetData sheetId="1" refreshError="1">
        <row r="49">
          <cell r="C49">
            <v>115946.85</v>
          </cell>
        </row>
      </sheetData>
      <sheetData sheetId="2" refreshError="1">
        <row r="45">
          <cell r="C45">
            <v>405909.27094025002</v>
          </cell>
        </row>
      </sheetData>
      <sheetData sheetId="3" refreshError="1">
        <row r="3">
          <cell r="C3">
            <v>34757255.270000003</v>
          </cell>
          <cell r="D3">
            <v>409923.95</v>
          </cell>
          <cell r="E3">
            <v>84578.65</v>
          </cell>
          <cell r="F3">
            <v>115723</v>
          </cell>
          <cell r="G3">
            <v>23896.85</v>
          </cell>
          <cell r="I3">
            <v>0</v>
          </cell>
        </row>
      </sheetData>
      <sheetData sheetId="4" refreshError="1">
        <row r="4">
          <cell r="V4">
            <v>30591372.280000001</v>
          </cell>
        </row>
        <row r="5">
          <cell r="V5">
            <v>3606170.04</v>
          </cell>
        </row>
        <row r="6">
          <cell r="V6">
            <v>800000</v>
          </cell>
        </row>
        <row r="36">
          <cell r="L36"/>
        </row>
      </sheetData>
    </sheetDataSet>
  </externalBook>
</externalLink>
</file>

<file path=xl/externalLinks/externalLink4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>
        <row r="17">
          <cell r="C17">
            <v>764</v>
          </cell>
        </row>
        <row r="21">
          <cell r="C21">
            <v>35391377.719999999</v>
          </cell>
        </row>
        <row r="25">
          <cell r="E25">
            <v>7.5499999999999998E-2</v>
          </cell>
        </row>
      </sheetData>
      <sheetData sheetId="1" refreshError="1">
        <row r="49">
          <cell r="C49">
            <v>115946.85</v>
          </cell>
        </row>
      </sheetData>
      <sheetData sheetId="2" refreshError="1">
        <row r="45">
          <cell r="C45">
            <v>405909.27094025002</v>
          </cell>
        </row>
      </sheetData>
      <sheetData sheetId="3" refreshError="1">
        <row r="3">
          <cell r="C3">
            <v>34757255.270000003</v>
          </cell>
          <cell r="D3">
            <v>409923.95</v>
          </cell>
          <cell r="E3">
            <v>84578.65</v>
          </cell>
          <cell r="F3">
            <v>115723</v>
          </cell>
          <cell r="G3">
            <v>23896.85</v>
          </cell>
          <cell r="I3">
            <v>0</v>
          </cell>
        </row>
      </sheetData>
      <sheetData sheetId="4" refreshError="1">
        <row r="5">
          <cell r="V5">
            <v>3606170.04</v>
          </cell>
        </row>
        <row r="6">
          <cell r="V6">
            <v>800000</v>
          </cell>
        </row>
        <row r="36">
          <cell r="L36"/>
        </row>
      </sheetData>
    </sheetDataSet>
  </externalBook>
</externalLink>
</file>

<file path=xl/externalLinks/externalLink4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/>
      <sheetData sheetId="2"/>
      <sheetData sheetId="3"/>
      <sheetData sheetId="4">
        <row r="4">
          <cell r="V4">
            <v>30591372.280000001</v>
          </cell>
        </row>
      </sheetData>
    </sheetDataSet>
  </externalBook>
</externalLink>
</file>

<file path=xl/externalLinks/externalLink4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  <sheetName val="Parts 2 - 3"/>
      <sheetName val="Parts 7-10"/>
      <sheetName val="Parts 4 - 6 "/>
      <sheetName val="Part 11"/>
      <sheetName val="Part 11 Deemed Defaults"/>
    </sheetNames>
    <sheetDataSet>
      <sheetData sheetId="0">
        <row r="17">
          <cell r="C17"/>
        </row>
        <row r="21">
          <cell r="C21">
            <v>34502824.859999999</v>
          </cell>
        </row>
        <row r="25">
          <cell r="E25">
            <v>7.5499999999999998E-2</v>
          </cell>
        </row>
      </sheetData>
      <sheetData sheetId="1">
        <row r="49">
          <cell r="C49">
            <v>244529.79</v>
          </cell>
        </row>
      </sheetData>
      <sheetData sheetId="2">
        <row r="45">
          <cell r="C45">
            <v>394119.28517912491</v>
          </cell>
        </row>
      </sheetData>
      <sheetData sheetId="3">
        <row r="3">
          <cell r="C3">
            <v>33564950.259999998</v>
          </cell>
        </row>
      </sheetData>
      <sheetData sheetId="4">
        <row r="4">
          <cell r="V4">
            <v>29702819.419999998</v>
          </cell>
        </row>
      </sheetData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4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  <sheetName val="Part 2 - 3"/>
      <sheetName val="Part 8 - 11"/>
      <sheetName val="Part 5 - 7"/>
    </sheetNames>
    <sheetDataSet>
      <sheetData sheetId="0">
        <row r="17">
          <cell r="C17"/>
        </row>
        <row r="21">
          <cell r="C21">
            <v>34815648.82</v>
          </cell>
        </row>
        <row r="25">
          <cell r="E25">
            <v>7.5499999999999998E-2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4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>
        <row r="17">
          <cell r="C17">
            <v>750</v>
          </cell>
        </row>
        <row r="21">
          <cell r="C21">
            <v>34502824.859999999</v>
          </cell>
        </row>
        <row r="25">
          <cell r="E25">
            <v>7.5499999999999998E-2</v>
          </cell>
        </row>
      </sheetData>
      <sheetData sheetId="1" refreshError="1">
        <row r="49">
          <cell r="C49">
            <v>244529.79</v>
          </cell>
        </row>
      </sheetData>
      <sheetData sheetId="2" refreshError="1">
        <row r="45">
          <cell r="C45">
            <v>394119.28517912491</v>
          </cell>
        </row>
      </sheetData>
      <sheetData sheetId="3" refreshError="1">
        <row r="3">
          <cell r="C3">
            <v>33564950.259999998</v>
          </cell>
          <cell r="D3">
            <v>516377.83</v>
          </cell>
          <cell r="E3">
            <v>389173.72</v>
          </cell>
          <cell r="F3">
            <v>0</v>
          </cell>
          <cell r="G3">
            <v>32323.05</v>
          </cell>
          <cell r="I3">
            <v>0</v>
          </cell>
        </row>
      </sheetData>
      <sheetData sheetId="4" refreshError="1">
        <row r="4">
          <cell r="V4">
            <v>29702819.419999998</v>
          </cell>
        </row>
        <row r="5">
          <cell r="V5">
            <v>3547233.34</v>
          </cell>
        </row>
        <row r="6">
          <cell r="V6">
            <v>800000</v>
          </cell>
        </row>
        <row r="36">
          <cell r="L36"/>
        </row>
      </sheetData>
    </sheetDataSet>
  </externalBook>
</externalLink>
</file>

<file path=xl/externalLinks/externalLink4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748</v>
          </cell>
        </row>
        <row r="21">
          <cell r="C21">
            <v>34372887.189999998</v>
          </cell>
        </row>
        <row r="25">
          <cell r="E25">
            <v>7.5499999999999998E-2</v>
          </cell>
        </row>
      </sheetData>
      <sheetData sheetId="1">
        <row r="48">
          <cell r="C48">
            <v>66547.91</v>
          </cell>
        </row>
      </sheetData>
      <sheetData sheetId="2">
        <row r="45">
          <cell r="C45">
            <v>392395.17472031241</v>
          </cell>
        </row>
      </sheetData>
      <sheetData sheetId="3">
        <row r="3">
          <cell r="C3">
            <v>33486502.569999997</v>
          </cell>
          <cell r="D3">
            <v>364874.93</v>
          </cell>
          <cell r="E3">
            <v>346948.38</v>
          </cell>
          <cell r="F3">
            <v>142238.26</v>
          </cell>
          <cell r="G3">
            <v>23896.85</v>
          </cell>
          <cell r="I3">
            <v>8426.2000000000007</v>
          </cell>
        </row>
      </sheetData>
      <sheetData sheetId="4">
        <row r="4">
          <cell r="V4">
            <v>29572881.749999996</v>
          </cell>
        </row>
        <row r="5">
          <cell r="V5">
            <v>3521096.5</v>
          </cell>
        </row>
        <row r="6">
          <cell r="V6">
            <v>800000</v>
          </cell>
        </row>
        <row r="36">
          <cell r="L36"/>
        </row>
      </sheetData>
    </sheetDataSet>
  </externalBook>
</externalLink>
</file>

<file path=xl/externalLinks/externalLink4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>
        <row r="17">
          <cell r="C17">
            <v>745</v>
          </cell>
        </row>
        <row r="21">
          <cell r="C21">
            <v>34184223.130000003</v>
          </cell>
        </row>
        <row r="25">
          <cell r="E25">
            <v>7.5499999999999998E-2</v>
          </cell>
        </row>
      </sheetData>
      <sheetData sheetId="1" refreshError="1"/>
      <sheetData sheetId="2" refreshError="1">
        <row r="45">
          <cell r="C45">
            <v>389780.0333329374</v>
          </cell>
        </row>
      </sheetData>
      <sheetData sheetId="3" refreshError="1">
        <row r="3">
          <cell r="C3">
            <v>33072622.490000002</v>
          </cell>
          <cell r="D3">
            <v>661010.12</v>
          </cell>
          <cell r="E3">
            <v>366830.83</v>
          </cell>
          <cell r="F3">
            <v>51436.639999999999</v>
          </cell>
          <cell r="G3">
            <v>0</v>
          </cell>
          <cell r="I3">
            <v>23896.85</v>
          </cell>
        </row>
      </sheetData>
      <sheetData sheetId="4" refreshError="1">
        <row r="4">
          <cell r="V4">
            <v>29375791.489999995</v>
          </cell>
        </row>
        <row r="5">
          <cell r="V5">
            <v>3502588.25</v>
          </cell>
        </row>
        <row r="6">
          <cell r="V6">
            <v>800000</v>
          </cell>
        </row>
      </sheetData>
    </sheetDataSet>
  </externalBook>
</externalLink>
</file>

<file path=xl/externalLinks/externalLink4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739</v>
          </cell>
        </row>
        <row r="21">
          <cell r="C21">
            <v>33970867.590000004</v>
          </cell>
        </row>
        <row r="25">
          <cell r="E25">
            <v>7.5499999999999998E-2</v>
          </cell>
        </row>
      </sheetData>
      <sheetData sheetId="1">
        <row r="49">
          <cell r="C49"/>
        </row>
      </sheetData>
      <sheetData sheetId="2">
        <row r="45">
          <cell r="C45">
            <v>386949.07201156247</v>
          </cell>
        </row>
      </sheetData>
      <sheetData sheetId="3">
        <row r="3">
          <cell r="C3">
            <v>32864234.670000002</v>
          </cell>
          <cell r="D3">
            <v>615616.36</v>
          </cell>
          <cell r="E3">
            <v>227310.39</v>
          </cell>
          <cell r="F3">
            <v>224444.48</v>
          </cell>
          <cell r="G3">
            <v>30835.49</v>
          </cell>
          <cell r="I3">
            <v>0</v>
          </cell>
        </row>
      </sheetData>
      <sheetData sheetId="4">
        <row r="4">
          <cell r="V4">
            <v>29162435.949999996</v>
          </cell>
        </row>
        <row r="5">
          <cell r="V5">
            <v>3479441.32</v>
          </cell>
        </row>
        <row r="6">
          <cell r="V6">
            <v>800000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1981</v>
          </cell>
        </row>
        <row r="22">
          <cell r="C22">
            <v>41979991.240000002</v>
          </cell>
        </row>
      </sheetData>
      <sheetData sheetId="1">
        <row r="49">
          <cell r="C49">
            <v>61703</v>
          </cell>
        </row>
      </sheetData>
      <sheetData sheetId="2">
        <row r="58">
          <cell r="C58">
            <v>0</v>
          </cell>
        </row>
      </sheetData>
      <sheetData sheetId="3">
        <row r="4">
          <cell r="C4">
            <v>40205304.690000005</v>
          </cell>
          <cell r="E4">
            <v>575969.24</v>
          </cell>
          <cell r="F4">
            <v>381442.79</v>
          </cell>
          <cell r="G4">
            <v>254306.62</v>
          </cell>
          <cell r="H4">
            <v>85776.03</v>
          </cell>
          <cell r="J4">
            <v>0</v>
          </cell>
        </row>
      </sheetData>
      <sheetData sheetId="4">
        <row r="8">
          <cell r="V8">
            <v>32961479.819000021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4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732</v>
          </cell>
        </row>
        <row r="21">
          <cell r="C21">
            <v>33584242.689999998</v>
          </cell>
        </row>
        <row r="25">
          <cell r="E25">
            <v>7.5399999999999995E-2</v>
          </cell>
        </row>
      </sheetData>
      <sheetData sheetId="1">
        <row r="49">
          <cell r="C49"/>
        </row>
      </sheetData>
      <sheetData sheetId="2">
        <row r="45">
          <cell r="C45">
            <v>376163.79838881234</v>
          </cell>
        </row>
      </sheetData>
      <sheetData sheetId="3">
        <row r="3">
          <cell r="C3">
            <v>44294</v>
          </cell>
          <cell r="D3">
            <v>594508.34</v>
          </cell>
          <cell r="E3">
            <v>315360.28999999998</v>
          </cell>
          <cell r="F3">
            <v>0</v>
          </cell>
          <cell r="G3">
            <v>23896.85</v>
          </cell>
          <cell r="I3">
            <v>6938.64</v>
          </cell>
        </row>
      </sheetData>
      <sheetData sheetId="4">
        <row r="4">
          <cell r="V4">
            <v>28349603.269999996</v>
          </cell>
        </row>
        <row r="5">
          <cell r="V5">
            <v>3422877.1399999997</v>
          </cell>
        </row>
        <row r="6">
          <cell r="V6">
            <v>800000</v>
          </cell>
        </row>
      </sheetData>
    </sheetDataSet>
  </externalBook>
</externalLink>
</file>

<file path=xl/externalLinks/externalLink4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48">
          <cell r="C48">
            <v>253754.14</v>
          </cell>
        </row>
      </sheetData>
      <sheetData sheetId="2"/>
      <sheetData sheetId="3"/>
      <sheetData sheetId="4"/>
    </sheetDataSet>
  </externalBook>
</externalLink>
</file>

<file path=xl/externalLinks/externalLink4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722</v>
          </cell>
        </row>
        <row r="21">
          <cell r="C21">
            <v>33149608.710000001</v>
          </cell>
        </row>
        <row r="25">
          <cell r="E25">
            <v>7.5399999999999995E-2</v>
          </cell>
        </row>
      </sheetData>
      <sheetData sheetId="1">
        <row r="48">
          <cell r="C48">
            <v>286615.52</v>
          </cell>
        </row>
      </sheetData>
      <sheetData sheetId="2">
        <row r="45">
          <cell r="C45">
            <v>370396.74876668741</v>
          </cell>
        </row>
      </sheetData>
      <sheetData sheetId="3">
        <row r="3">
          <cell r="C3">
            <v>44320</v>
          </cell>
          <cell r="D3">
            <v>737886.08</v>
          </cell>
          <cell r="E3">
            <v>2225</v>
          </cell>
          <cell r="F3">
            <v>0</v>
          </cell>
          <cell r="G3">
            <v>23896.85</v>
          </cell>
          <cell r="I3">
            <v>6938.64</v>
          </cell>
        </row>
      </sheetData>
      <sheetData sheetId="4">
        <row r="4">
          <cell r="V4">
            <v>27914969.289999995</v>
          </cell>
        </row>
        <row r="5">
          <cell r="V5">
            <v>3384359.6499999994</v>
          </cell>
        </row>
        <row r="6">
          <cell r="V6">
            <v>800000</v>
          </cell>
        </row>
      </sheetData>
    </sheetDataSet>
  </externalBook>
</externalLink>
</file>

<file path=xl/externalLinks/externalLink4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721</v>
          </cell>
        </row>
        <row r="21">
          <cell r="C21">
            <v>33022478.93</v>
          </cell>
        </row>
        <row r="25">
          <cell r="E25">
            <v>7.5399999999999995E-2</v>
          </cell>
        </row>
      </sheetData>
      <sheetData sheetId="1">
        <row r="48">
          <cell r="C48">
            <v>30603.88</v>
          </cell>
        </row>
      </sheetData>
      <sheetData sheetId="2">
        <row r="45">
          <cell r="C45">
            <v>374384.87804093736</v>
          </cell>
        </row>
      </sheetData>
      <sheetData sheetId="3">
        <row r="3">
          <cell r="C3">
            <v>31703031.890000001</v>
          </cell>
          <cell r="D3">
            <v>867549.72</v>
          </cell>
          <cell r="E3">
            <v>258222.42</v>
          </cell>
          <cell r="F3">
            <v>44498</v>
          </cell>
          <cell r="G3">
            <v>0</v>
          </cell>
          <cell r="I3">
            <v>6938.64</v>
          </cell>
        </row>
      </sheetData>
      <sheetData sheetId="4">
        <row r="4">
          <cell r="V4">
            <v>28215534.849999994</v>
          </cell>
        </row>
        <row r="5">
          <cell r="V5">
            <v>3402967.9399999995</v>
          </cell>
        </row>
        <row r="6">
          <cell r="V6">
            <v>800000</v>
          </cell>
        </row>
      </sheetData>
    </sheetDataSet>
  </externalBook>
</externalLink>
</file>

<file path=xl/externalLinks/externalLink4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715</v>
          </cell>
        </row>
        <row r="21">
          <cell r="C21">
            <v>32754943.940000001</v>
          </cell>
        </row>
        <row r="25">
          <cell r="E25">
            <v>7.5399999999999995E-2</v>
          </cell>
        </row>
      </sheetData>
      <sheetData sheetId="1">
        <row r="48">
          <cell r="C48">
            <v>121038.25</v>
          </cell>
        </row>
      </sheetData>
      <sheetData sheetId="2">
        <row r="45">
          <cell r="C45">
            <v>370927.09022187488</v>
          </cell>
        </row>
      </sheetData>
      <sheetData sheetId="3">
        <row r="3">
          <cell r="C3">
            <v>31342901.350000001</v>
          </cell>
          <cell r="D3">
            <v>1008575.27</v>
          </cell>
          <cell r="E3">
            <v>313401.21000000002</v>
          </cell>
          <cell r="F3">
            <v>83127.47</v>
          </cell>
          <cell r="G3">
            <v>0</v>
          </cell>
          <cell r="I3">
            <v>0</v>
          </cell>
        </row>
      </sheetData>
      <sheetData sheetId="4">
        <row r="4">
          <cell r="V4">
            <v>27954938.499999993</v>
          </cell>
        </row>
        <row r="5">
          <cell r="V5">
            <v>3374276.9299999997</v>
          </cell>
        </row>
        <row r="6">
          <cell r="V6">
            <v>800000</v>
          </cell>
        </row>
      </sheetData>
    </sheetDataSet>
  </externalBook>
</externalLink>
</file>

<file path=xl/externalLinks/externalLink4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712</v>
          </cell>
        </row>
        <row r="21">
          <cell r="C21">
            <v>32414152.23</v>
          </cell>
        </row>
        <row r="25">
          <cell r="E25">
            <v>7.5399999999999995E-2</v>
          </cell>
        </row>
      </sheetData>
      <sheetData sheetId="1">
        <row r="48">
          <cell r="C48">
            <v>119587.54</v>
          </cell>
        </row>
      </sheetData>
      <sheetData sheetId="2">
        <row r="45">
          <cell r="C45">
            <v>366313.14314031234</v>
          </cell>
        </row>
      </sheetData>
      <sheetData sheetId="3">
        <row r="3">
          <cell r="C3">
            <v>30965382.260000002</v>
          </cell>
          <cell r="D3">
            <v>1194844.6299999999</v>
          </cell>
          <cell r="E3">
            <v>152066.48000000001</v>
          </cell>
          <cell r="F3">
            <v>94920.22</v>
          </cell>
          <cell r="G3">
            <v>0</v>
          </cell>
          <cell r="I3">
            <v>0</v>
          </cell>
        </row>
      </sheetData>
      <sheetData sheetId="4">
        <row r="4">
          <cell r="V4">
            <v>27607208.149999991</v>
          </cell>
        </row>
        <row r="5">
          <cell r="V5">
            <v>3357082.4499999997</v>
          </cell>
        </row>
        <row r="6">
          <cell r="V6">
            <v>800000</v>
          </cell>
        </row>
      </sheetData>
    </sheetDataSet>
  </externalBook>
</externalLink>
</file>

<file path=xl/externalLinks/externalLink4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705</v>
          </cell>
        </row>
        <row r="21">
          <cell r="C21">
            <v>31869288</v>
          </cell>
        </row>
        <row r="25">
          <cell r="E25">
            <v>7.5399999999999995E-2</v>
          </cell>
        </row>
      </sheetData>
      <sheetData sheetId="1">
        <row r="48">
          <cell r="C48">
            <v>425121.84</v>
          </cell>
        </row>
      </sheetData>
      <sheetData sheetId="2">
        <row r="45">
          <cell r="C45">
            <v>359175.54296799982</v>
          </cell>
        </row>
      </sheetData>
      <sheetData sheetId="3">
        <row r="3">
          <cell r="C3">
            <v>30869514.09</v>
          </cell>
          <cell r="D3">
            <v>650267.1</v>
          </cell>
          <cell r="E3">
            <v>151821.26999999999</v>
          </cell>
          <cell r="F3">
            <v>197685.54</v>
          </cell>
          <cell r="G3">
            <v>0</v>
          </cell>
          <cell r="I3">
            <v>0</v>
          </cell>
        </row>
      </sheetData>
      <sheetData sheetId="4">
        <row r="4">
          <cell r="V4">
            <v>27069282.559999991</v>
          </cell>
        </row>
        <row r="5">
          <cell r="V5">
            <v>3320968.55</v>
          </cell>
        </row>
        <row r="6">
          <cell r="V6">
            <v>800000</v>
          </cell>
        </row>
      </sheetData>
    </sheetDataSet>
  </externalBook>
</externalLink>
</file>

<file path=xl/externalLinks/externalLink4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694</v>
          </cell>
        </row>
        <row r="21">
          <cell r="C21">
            <v>31285199.760000002</v>
          </cell>
        </row>
        <row r="25">
          <cell r="E25">
            <v>7.5399999999999995E-2</v>
          </cell>
        </row>
      </sheetData>
      <sheetData sheetId="1">
        <row r="48">
          <cell r="C48">
            <v>145066.47</v>
          </cell>
        </row>
      </sheetData>
      <sheetData sheetId="2">
        <row r="45">
          <cell r="C45">
            <v>351425.42213349987</v>
          </cell>
        </row>
      </sheetData>
      <sheetData sheetId="3">
        <row r="3">
          <cell r="C3">
            <v>30291493.059999999</v>
          </cell>
          <cell r="D3">
            <v>796736.77</v>
          </cell>
          <cell r="E3">
            <v>63934.21</v>
          </cell>
          <cell r="F3">
            <v>82613.5</v>
          </cell>
          <cell r="G3">
            <v>50422.22</v>
          </cell>
          <cell r="I3">
            <v>0</v>
          </cell>
        </row>
      </sheetData>
      <sheetData sheetId="4">
        <row r="4">
          <cell r="V4">
            <v>26485194.319999993</v>
          </cell>
        </row>
        <row r="5">
          <cell r="V5">
            <v>3267234.38</v>
          </cell>
        </row>
        <row r="6">
          <cell r="V6">
            <v>800000</v>
          </cell>
        </row>
      </sheetData>
    </sheetDataSet>
  </externalBook>
</externalLink>
</file>

<file path=xl/externalLinks/externalLink4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690</v>
          </cell>
        </row>
        <row r="21">
          <cell r="C21">
            <v>31125783.190000001</v>
          </cell>
        </row>
        <row r="25">
          <cell r="E25">
            <v>7.5399999999999995E-2</v>
          </cell>
        </row>
      </sheetData>
      <sheetData sheetId="1">
        <row r="48">
          <cell r="C48">
            <v>82910</v>
          </cell>
        </row>
      </sheetData>
      <sheetData sheetId="2">
        <row r="45">
          <cell r="C45">
            <v>349310.1635203124</v>
          </cell>
        </row>
      </sheetData>
      <sheetData sheetId="3">
        <row r="3">
          <cell r="C3">
            <v>30228263.129999999</v>
          </cell>
          <cell r="D3">
            <v>577753.63</v>
          </cell>
          <cell r="E3">
            <v>172485.04</v>
          </cell>
          <cell r="F3">
            <v>147281.39000000001</v>
          </cell>
          <cell r="G3">
            <v>0</v>
          </cell>
          <cell r="I3">
            <v>0</v>
          </cell>
        </row>
      </sheetData>
      <sheetData sheetId="4">
        <row r="4">
          <cell r="V4">
            <v>26325777.749999993</v>
          </cell>
        </row>
        <row r="5">
          <cell r="V5">
            <v>3251345.26</v>
          </cell>
        </row>
        <row r="6">
          <cell r="V6">
            <v>800000</v>
          </cell>
        </row>
      </sheetData>
    </sheetDataSet>
  </externalBook>
</externalLink>
</file>

<file path=xl/externalLinks/externalLink4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690</v>
          </cell>
        </row>
        <row r="21">
          <cell r="C21">
            <v>31125783.190000001</v>
          </cell>
        </row>
        <row r="25">
          <cell r="E25">
            <v>7.5399999999999995E-2</v>
          </cell>
        </row>
      </sheetData>
      <sheetData sheetId="1">
        <row r="48">
          <cell r="C48">
            <v>82910</v>
          </cell>
        </row>
      </sheetData>
      <sheetData sheetId="2">
        <row r="45">
          <cell r="C45">
            <v>349310.1635203124</v>
          </cell>
        </row>
      </sheetData>
      <sheetData sheetId="3">
        <row r="3">
          <cell r="C3">
            <v>30228263.129999999</v>
          </cell>
          <cell r="D3">
            <v>577753.63</v>
          </cell>
          <cell r="E3">
            <v>172485.04</v>
          </cell>
          <cell r="F3">
            <v>147281.39000000001</v>
          </cell>
          <cell r="G3">
            <v>0</v>
          </cell>
          <cell r="I3">
            <v>0</v>
          </cell>
        </row>
      </sheetData>
      <sheetData sheetId="4">
        <row r="4">
          <cell r="V4">
            <v>26325777.749999993</v>
          </cell>
        </row>
        <row r="5">
          <cell r="V5">
            <v>3251345.26</v>
          </cell>
        </row>
        <row r="6">
          <cell r="V6">
            <v>800000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/>
      <sheetData sheetId="4"/>
    </sheetDataSet>
  </externalBook>
</externalLink>
</file>

<file path=xl/externalLinks/externalLink4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680</v>
          </cell>
        </row>
        <row r="21">
          <cell r="C21">
            <v>30444638.239999998</v>
          </cell>
        </row>
        <row r="25">
          <cell r="E25">
            <v>7.5399999999999995E-2</v>
          </cell>
        </row>
      </sheetData>
      <sheetData sheetId="1">
        <row r="48">
          <cell r="C48">
            <v>58082.8</v>
          </cell>
        </row>
      </sheetData>
      <sheetData sheetId="2">
        <row r="45">
          <cell r="C45">
            <v>340272.22146499984</v>
          </cell>
        </row>
      </sheetData>
      <sheetData sheetId="3">
        <row r="3">
          <cell r="C3">
            <v>29699790.010000002</v>
          </cell>
          <cell r="D3">
            <v>318839.67999999999</v>
          </cell>
          <cell r="E3">
            <v>288843.77</v>
          </cell>
          <cell r="F3">
            <v>79908.710000000006</v>
          </cell>
          <cell r="G3">
            <v>6833.85</v>
          </cell>
          <cell r="I3">
            <v>50422.22</v>
          </cell>
        </row>
      </sheetData>
      <sheetData sheetId="4">
        <row r="4">
          <cell r="V4">
            <v>25644632.79999999</v>
          </cell>
        </row>
        <row r="5">
          <cell r="V5">
            <v>3196740.26</v>
          </cell>
        </row>
        <row r="6">
          <cell r="V6">
            <v>800000</v>
          </cell>
        </row>
      </sheetData>
    </sheetDataSet>
  </externalBook>
</externalLink>
</file>

<file path=xl/externalLinks/externalLink4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680</v>
          </cell>
        </row>
        <row r="21">
          <cell r="C21">
            <v>30444638.239999998</v>
          </cell>
        </row>
        <row r="25">
          <cell r="E25">
            <v>7.5399999999999995E-2</v>
          </cell>
        </row>
      </sheetData>
      <sheetData sheetId="1">
        <row r="48">
          <cell r="C48">
            <v>58082.8</v>
          </cell>
        </row>
      </sheetData>
      <sheetData sheetId="2">
        <row r="45">
          <cell r="C45">
            <v>340272.22146499984</v>
          </cell>
        </row>
      </sheetData>
      <sheetData sheetId="3">
        <row r="3">
          <cell r="C3">
            <v>29699790.010000002</v>
          </cell>
          <cell r="D3">
            <v>318839.67999999999</v>
          </cell>
          <cell r="E3">
            <v>288843.77</v>
          </cell>
          <cell r="F3">
            <v>79908.710000000006</v>
          </cell>
          <cell r="G3">
            <v>6833.85</v>
          </cell>
          <cell r="I3">
            <v>50422.22</v>
          </cell>
        </row>
        <row r="13">
          <cell r="M13">
            <v>0</v>
          </cell>
        </row>
      </sheetData>
      <sheetData sheetId="4">
        <row r="4">
          <cell r="V4">
            <v>25644632.79999999</v>
          </cell>
        </row>
        <row r="5">
          <cell r="V5">
            <v>3196740.26</v>
          </cell>
        </row>
        <row r="6">
          <cell r="V6">
            <v>800000</v>
          </cell>
        </row>
      </sheetData>
    </sheetDataSet>
  </externalBook>
</externalLink>
</file>

<file path=xl/externalLinks/externalLink4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676</v>
          </cell>
        </row>
        <row r="21">
          <cell r="C21">
            <v>30214888.82</v>
          </cell>
        </row>
        <row r="25">
          <cell r="E25">
            <v>7.5300000000000006E-2</v>
          </cell>
        </row>
      </sheetData>
      <sheetData sheetId="1">
        <row r="48">
          <cell r="C48">
            <v>148623.62</v>
          </cell>
        </row>
      </sheetData>
      <sheetData sheetId="2">
        <row r="45">
          <cell r="C45">
            <v>337223.7338483748</v>
          </cell>
        </row>
      </sheetData>
      <sheetData sheetId="3">
        <row r="3">
          <cell r="C3">
            <v>29552139.619999997</v>
          </cell>
          <cell r="D3">
            <v>360147.42</v>
          </cell>
          <cell r="E3">
            <v>169037.25</v>
          </cell>
          <cell r="F3">
            <v>126730.68</v>
          </cell>
          <cell r="G3">
            <v>0</v>
          </cell>
          <cell r="I3">
            <v>6833.85</v>
          </cell>
        </row>
        <row r="13">
          <cell r="M13">
            <v>0</v>
          </cell>
        </row>
      </sheetData>
      <sheetData sheetId="4">
        <row r="4">
          <cell r="V4">
            <v>25414883.379999988</v>
          </cell>
        </row>
        <row r="5">
          <cell r="V5">
            <v>3164470.0599999996</v>
          </cell>
        </row>
        <row r="6">
          <cell r="V6">
            <v>800000</v>
          </cell>
        </row>
      </sheetData>
    </sheetDataSet>
  </externalBook>
</externalLink>
</file>

<file path=xl/externalLinks/externalLink4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>
        <row r="17">
          <cell r="C17">
            <v>674</v>
          </cell>
        </row>
        <row r="21">
          <cell r="C21">
            <v>29942438.530000001</v>
          </cell>
        </row>
        <row r="25">
          <cell r="E25">
            <v>7.5300000000000006E-2</v>
          </cell>
        </row>
      </sheetData>
      <sheetData sheetId="1" refreshError="1">
        <row r="48">
          <cell r="C48">
            <v>19580.900000000001</v>
          </cell>
        </row>
      </sheetData>
      <sheetData sheetId="2" refreshError="1">
        <row r="45">
          <cell r="C45">
            <v>333608.65906293737</v>
          </cell>
        </row>
      </sheetData>
      <sheetData sheetId="3" refreshError="1">
        <row r="3">
          <cell r="C3">
            <v>29054605.829999998</v>
          </cell>
          <cell r="D3">
            <v>491832.06</v>
          </cell>
          <cell r="E3">
            <v>272624.33</v>
          </cell>
          <cell r="F3">
            <v>123376.31</v>
          </cell>
          <cell r="G3">
            <v>0</v>
          </cell>
          <cell r="I3">
            <v>0</v>
          </cell>
        </row>
        <row r="13">
          <cell r="M13">
            <v>0</v>
          </cell>
        </row>
      </sheetData>
      <sheetData sheetId="4" refreshError="1">
        <row r="4">
          <cell r="V4">
            <v>25142433.089999989</v>
          </cell>
        </row>
        <row r="5">
          <cell r="V5">
            <v>3158966.4899999998</v>
          </cell>
        </row>
        <row r="6">
          <cell r="V6">
            <v>800000</v>
          </cell>
        </row>
      </sheetData>
    </sheetDataSet>
  </externalBook>
</externalLink>
</file>

<file path=xl/externalLinks/externalLink4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669</v>
          </cell>
        </row>
        <row r="21">
          <cell r="C21">
            <v>29471296.309999999</v>
          </cell>
        </row>
      </sheetData>
      <sheetData sheetId="1">
        <row r="48">
          <cell r="C48">
            <v>268507.57</v>
          </cell>
        </row>
      </sheetData>
      <sheetData sheetId="2">
        <row r="45">
          <cell r="C45">
            <v>327357.19073131232</v>
          </cell>
        </row>
      </sheetData>
      <sheetData sheetId="3">
        <row r="3">
          <cell r="C3">
            <v>28684474.930000003</v>
          </cell>
          <cell r="D3">
            <v>430298.75</v>
          </cell>
          <cell r="E3">
            <v>233146.32</v>
          </cell>
          <cell r="F3">
            <v>93620.91</v>
          </cell>
          <cell r="G3">
            <v>29755.4</v>
          </cell>
          <cell r="I3">
            <v>0</v>
          </cell>
        </row>
        <row r="13">
          <cell r="M13">
            <v>0</v>
          </cell>
        </row>
      </sheetData>
      <sheetData sheetId="4">
        <row r="4">
          <cell r="V4">
            <v>24671290.86999999</v>
          </cell>
        </row>
        <row r="5">
          <cell r="V5">
            <v>3131837.44</v>
          </cell>
        </row>
        <row r="6">
          <cell r="V6">
            <v>800000</v>
          </cell>
        </row>
      </sheetData>
    </sheetDataSet>
  </externalBook>
</externalLink>
</file>

<file path=xl/externalLinks/externalLink4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666</v>
          </cell>
        </row>
        <row r="21">
          <cell r="C21">
            <v>29267274.23</v>
          </cell>
        </row>
      </sheetData>
      <sheetData sheetId="1">
        <row r="48">
          <cell r="C48">
            <v>109966.84</v>
          </cell>
        </row>
      </sheetData>
      <sheetData sheetId="2">
        <row r="45">
          <cell r="C45">
            <v>324076.98695281235</v>
          </cell>
        </row>
      </sheetData>
      <sheetData sheetId="3">
        <row r="3">
          <cell r="C3">
            <v>28425440.440000001</v>
          </cell>
          <cell r="D3">
            <v>488432.97</v>
          </cell>
          <cell r="E3">
            <v>221041.27</v>
          </cell>
          <cell r="F3">
            <v>77915.5</v>
          </cell>
          <cell r="G3">
            <v>24688.65</v>
          </cell>
          <cell r="I3">
            <v>29755.4</v>
          </cell>
        </row>
        <row r="13">
          <cell r="M13">
            <v>0</v>
          </cell>
        </row>
      </sheetData>
      <sheetData sheetId="4">
        <row r="4">
          <cell r="V4">
            <v>24424078.149999991</v>
          </cell>
        </row>
        <row r="5">
          <cell r="V5">
            <v>3131837.44</v>
          </cell>
        </row>
        <row r="6">
          <cell r="V6">
            <v>800000</v>
          </cell>
        </row>
      </sheetData>
    </sheetDataSet>
  </externalBook>
</externalLink>
</file>

<file path=xl/externalLinks/externalLink4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663</v>
          </cell>
        </row>
        <row r="21">
          <cell r="C21">
            <v>29024135.59</v>
          </cell>
        </row>
      </sheetData>
      <sheetData sheetId="1">
        <row r="48">
          <cell r="C48">
            <v>64003.19</v>
          </cell>
        </row>
      </sheetData>
      <sheetData sheetId="2">
        <row r="45">
          <cell r="C45">
            <v>320762.29822381237</v>
          </cell>
        </row>
      </sheetData>
      <sheetData sheetId="3">
        <row r="3">
          <cell r="C3">
            <v>28424667.539999999</v>
          </cell>
          <cell r="D3">
            <v>257958.58</v>
          </cell>
          <cell r="E3">
            <v>104349.5</v>
          </cell>
          <cell r="F3">
            <v>147678.93</v>
          </cell>
          <cell r="G3">
            <v>82808</v>
          </cell>
          <cell r="I3">
            <v>0</v>
          </cell>
        </row>
        <row r="13">
          <cell r="M13">
            <v>0</v>
          </cell>
        </row>
      </sheetData>
      <sheetData sheetId="4">
        <row r="4">
          <cell r="V4">
            <v>24174266.469999991</v>
          </cell>
        </row>
        <row r="5">
          <cell r="V5">
            <v>3110267.11</v>
          </cell>
        </row>
        <row r="6">
          <cell r="V6">
            <v>800000</v>
          </cell>
        </row>
      </sheetData>
    </sheetDataSet>
  </externalBook>
</externalLink>
</file>

<file path=xl/externalLinks/externalLink4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>
        <row r="17">
          <cell r="C17">
            <v>661</v>
          </cell>
        </row>
        <row r="21">
          <cell r="C21">
            <v>28877122.25</v>
          </cell>
        </row>
      </sheetData>
      <sheetData sheetId="1" refreshError="1">
        <row r="48">
          <cell r="C48">
            <v>68715.25</v>
          </cell>
        </row>
      </sheetData>
      <sheetData sheetId="2" refreshError="1">
        <row r="45">
          <cell r="C45">
            <v>318811.61496868735</v>
          </cell>
        </row>
      </sheetData>
      <sheetData sheetId="3" refreshError="1">
        <row r="3">
          <cell r="C3">
            <v>28079445.970000003</v>
          </cell>
          <cell r="D3">
            <v>439893.18</v>
          </cell>
          <cell r="E3">
            <v>211707.87</v>
          </cell>
          <cell r="F3">
            <v>56594.19</v>
          </cell>
          <cell r="G3">
            <v>62813.67</v>
          </cell>
          <cell r="I3">
            <v>19994.330000000002</v>
          </cell>
        </row>
        <row r="13">
          <cell r="M13">
            <v>0</v>
          </cell>
        </row>
      </sheetData>
      <sheetData sheetId="4" refreshError="1">
        <row r="4">
          <cell r="V4">
            <v>24027253.129999992</v>
          </cell>
        </row>
        <row r="5">
          <cell r="V5">
            <v>3092164.7399999998</v>
          </cell>
        </row>
        <row r="6">
          <cell r="V6">
            <v>800000</v>
          </cell>
        </row>
      </sheetData>
    </sheetDataSet>
  </externalBook>
</externalLink>
</file>

<file path=xl/externalLinks/externalLink4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>
        <row r="17">
          <cell r="C17">
            <v>657</v>
          </cell>
        </row>
        <row r="21">
          <cell r="C21">
            <v>28602395.710000001</v>
          </cell>
        </row>
      </sheetData>
      <sheetData sheetId="1" refreshError="1">
        <row r="48">
          <cell r="C48">
            <v>152584.79</v>
          </cell>
        </row>
      </sheetData>
      <sheetData sheetId="2" refreshError="1">
        <row r="45">
          <cell r="C45">
            <v>314901.03742487484</v>
          </cell>
        </row>
      </sheetData>
      <sheetData sheetId="3" refreshError="1">
        <row r="3">
          <cell r="C3">
            <v>27594585.789999999</v>
          </cell>
          <cell r="D3">
            <v>527011.15</v>
          </cell>
          <cell r="E3">
            <v>265271.65000000002</v>
          </cell>
          <cell r="F3">
            <v>111487.85</v>
          </cell>
          <cell r="G3">
            <v>14558.23</v>
          </cell>
          <cell r="I3">
            <v>62813.67</v>
          </cell>
        </row>
        <row r="13">
          <cell r="M13">
            <v>19994.330000000002</v>
          </cell>
        </row>
      </sheetData>
      <sheetData sheetId="4" refreshError="1">
        <row r="4">
          <cell r="V4">
            <v>23732532.25999999</v>
          </cell>
        </row>
        <row r="5">
          <cell r="V5">
            <v>3092164.7399999998</v>
          </cell>
        </row>
        <row r="6">
          <cell r="V6">
            <v>800000</v>
          </cell>
        </row>
      </sheetData>
    </sheetDataSet>
  </externalBook>
</externalLink>
</file>

<file path=xl/externalLinks/externalLink4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>
        <row r="17">
          <cell r="C17">
            <v>653</v>
          </cell>
        </row>
        <row r="21">
          <cell r="C21">
            <v>28338946.32</v>
          </cell>
        </row>
      </sheetData>
      <sheetData sheetId="1" refreshError="1">
        <row r="48">
          <cell r="C48">
            <v>168195.02299999999</v>
          </cell>
        </row>
      </sheetData>
      <sheetData sheetId="2" refreshError="1">
        <row r="45">
          <cell r="C45">
            <v>311405.39333131234</v>
          </cell>
        </row>
      </sheetData>
      <sheetData sheetId="3" refreshError="1">
        <row r="3">
          <cell r="C3">
            <v>27497768.610000003</v>
          </cell>
          <cell r="D3">
            <v>411110.04</v>
          </cell>
          <cell r="E3">
            <v>145583.26</v>
          </cell>
          <cell r="F3">
            <v>180445.14</v>
          </cell>
          <cell r="G3">
            <v>62813.67</v>
          </cell>
          <cell r="I3">
            <v>14558.23</v>
          </cell>
        </row>
        <row r="13">
          <cell r="M13">
            <v>0</v>
          </cell>
        </row>
      </sheetData>
      <sheetData sheetId="4" refreshError="1">
        <row r="4">
          <cell r="V4">
            <v>23469082.86999999</v>
          </cell>
        </row>
        <row r="5">
          <cell r="V5">
            <v>3063897.8099999996</v>
          </cell>
        </row>
        <row r="6">
          <cell r="V6">
            <v>800000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1971</v>
          </cell>
        </row>
        <row r="22">
          <cell r="C22">
            <v>41616418.329999998</v>
          </cell>
        </row>
      </sheetData>
      <sheetData sheetId="1">
        <row r="49">
          <cell r="C49">
            <v>192527.69</v>
          </cell>
        </row>
      </sheetData>
      <sheetData sheetId="2">
        <row r="58">
          <cell r="C58">
            <v>0</v>
          </cell>
        </row>
      </sheetData>
      <sheetData sheetId="3">
        <row r="4">
          <cell r="C4">
            <v>40047116.189999998</v>
          </cell>
          <cell r="E4">
            <v>504177.13</v>
          </cell>
          <cell r="F4">
            <v>401219.42</v>
          </cell>
          <cell r="G4">
            <v>147970.65</v>
          </cell>
          <cell r="H4">
            <v>62000.14</v>
          </cell>
          <cell r="J4">
            <v>28255.11</v>
          </cell>
        </row>
      </sheetData>
      <sheetData sheetId="4">
        <row r="8">
          <cell r="V8">
            <v>32690493.44900002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4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úmulos"/>
      <sheetName val="Mar-19 errado"/>
      <sheetName val="Mar-19 corregido"/>
      <sheetName val="Abr-19"/>
      <sheetName val="May-19"/>
      <sheetName val="Jun-19"/>
      <sheetName val="Jul-19"/>
      <sheetName val="Ago-19"/>
      <sheetName val="Sep-19"/>
      <sheetName val="Oct-19"/>
      <sheetName val="Nov-19"/>
      <sheetName val="Dec-19"/>
      <sheetName val="Ene-20"/>
      <sheetName val="Feb-20"/>
      <sheetName val="Mar-20"/>
      <sheetName val="Abr-20"/>
      <sheetName val="May-20"/>
      <sheetName val="Jun-20"/>
      <sheetName val="Jul-20"/>
      <sheetName val="Ago-20"/>
      <sheetName val="Sep-20"/>
      <sheetName val="Oct-20"/>
      <sheetName val="Nov-20"/>
      <sheetName val="Dec-20"/>
      <sheetName val="Ene-21"/>
      <sheetName val="Feb-21"/>
      <sheetName val="Mar-21"/>
      <sheetName val="Abr-21"/>
      <sheetName val="May-21"/>
      <sheetName val="Jun-21"/>
      <sheetName val="Jul-21"/>
      <sheetName val="Ago-21"/>
      <sheetName val="Sep-21"/>
      <sheetName val="Oct-21"/>
      <sheetName val="Nov-21"/>
      <sheetName val="Dic-21"/>
      <sheetName val="Ene-22"/>
      <sheetName val="Feb-22"/>
      <sheetName val="Mar-22"/>
      <sheetName val="Abr-22"/>
      <sheetName val="May-22"/>
      <sheetName val="Jun-22"/>
      <sheetName val="Jul-22"/>
      <sheetName val="Ago-22"/>
      <sheetName val="Sep-22"/>
      <sheetName val="Oct-22"/>
      <sheetName val="Nov-22"/>
      <sheetName val="Dic-22"/>
      <sheetName val="Ene-23"/>
      <sheetName val="Feb-23"/>
      <sheetName val="Mar-23"/>
      <sheetName val="Abr-23"/>
      <sheetName val="May-23"/>
      <sheetName val="Jun-23"/>
      <sheetName val="Jul-23"/>
      <sheetName val="Ago-23"/>
      <sheetName val="Sep-23"/>
      <sheetName val="Pruebas"/>
      <sheetName val="Oct-23"/>
      <sheetName val="Nov-23"/>
      <sheetName val="Dic-23"/>
      <sheetName val="Ene-24"/>
      <sheetName val="Feb-24"/>
      <sheetName val="Mar-24"/>
      <sheetName val="Abr-24"/>
      <sheetName val="May-24"/>
      <sheetName val="Jun-24"/>
      <sheetName val="Jul-24"/>
      <sheetName val="Ago-24"/>
      <sheetName val="Sep-24"/>
      <sheetName val="Oct-24"/>
      <sheetName val="Nov-24"/>
      <sheetName val="dic-24"/>
      <sheetName val="Ene-25"/>
      <sheetName val="Feb-25"/>
      <sheetName val="Mar-25"/>
      <sheetName val="Abr-25"/>
      <sheetName val="May-25"/>
      <sheetName val="Jun-25"/>
      <sheetName val="Jul-25"/>
      <sheetName val="Ago-25"/>
      <sheetName val="Sep-25"/>
      <sheetName val="Oct-25"/>
      <sheetName val="Nov-25"/>
      <sheetName val="Dic-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51">
          <cell r="C51">
            <v>280507.02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externalLinks/externalLink4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 -10"/>
      <sheetName val="Part 11"/>
    </sheetNames>
    <sheetDataSet>
      <sheetData sheetId="0">
        <row r="4">
          <cell r="C4"/>
          <cell r="E4"/>
          <cell r="F4"/>
          <cell r="G4"/>
          <cell r="H4"/>
          <cell r="J4"/>
        </row>
        <row r="16">
          <cell r="C16">
            <v>2915</v>
          </cell>
          <cell r="G16"/>
        </row>
        <row r="18">
          <cell r="C18">
            <v>2910</v>
          </cell>
        </row>
        <row r="20">
          <cell r="C20">
            <v>112500022.31</v>
          </cell>
        </row>
        <row r="22">
          <cell r="C22">
            <v>111434063.59999999</v>
          </cell>
          <cell r="E22">
            <v>1.34E-2</v>
          </cell>
        </row>
        <row r="32">
          <cell r="C32">
            <v>0.11070000000000001</v>
          </cell>
        </row>
      </sheetData>
      <sheetData sheetId="1">
        <row r="49">
          <cell r="C49">
            <v>77040.67</v>
          </cell>
        </row>
      </sheetData>
      <sheetData sheetId="2"/>
      <sheetData sheetId="3"/>
      <sheetData sheetId="4">
        <row r="8">
          <cell r="G8">
            <v>100000000</v>
          </cell>
          <cell r="V8">
            <v>99825826.710320368</v>
          </cell>
        </row>
        <row r="9">
          <cell r="G9">
            <v>10000000</v>
          </cell>
          <cell r="V9">
            <v>10000000</v>
          </cell>
        </row>
        <row r="10">
          <cell r="G10">
            <v>2500000</v>
          </cell>
          <cell r="V10">
            <v>2500000</v>
          </cell>
        </row>
      </sheetData>
    </sheetDataSet>
  </externalBook>
</externalLink>
</file>

<file path=xl/externalLinks/externalLink4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 -10"/>
      <sheetName val="Part 11"/>
    </sheetNames>
    <sheetDataSet>
      <sheetData sheetId="0">
        <row r="18">
          <cell r="C18">
            <v>2910</v>
          </cell>
        </row>
        <row r="22">
          <cell r="C22">
            <v>111434063.59999999</v>
          </cell>
          <cell r="E22">
            <v>1.34E-2</v>
          </cell>
        </row>
      </sheetData>
      <sheetData sheetId="1">
        <row r="49">
          <cell r="C49">
            <v>77040.67</v>
          </cell>
        </row>
      </sheetData>
      <sheetData sheetId="2">
        <row r="32">
          <cell r="C32">
            <v>1098084.0938135241</v>
          </cell>
        </row>
      </sheetData>
      <sheetData sheetId="3">
        <row r="4">
          <cell r="C4">
            <v>110672147.18999998</v>
          </cell>
          <cell r="E4">
            <v>525570.16</v>
          </cell>
          <cell r="F4">
            <v>185154.06</v>
          </cell>
          <cell r="G4">
            <v>51192.19</v>
          </cell>
          <cell r="H4">
            <v>0</v>
          </cell>
          <cell r="J4">
            <v>0</v>
          </cell>
        </row>
        <row r="16">
          <cell r="O16">
            <v>0</v>
          </cell>
        </row>
      </sheetData>
      <sheetData sheetId="4">
        <row r="8">
          <cell r="V8">
            <v>99825826.710320368</v>
          </cell>
        </row>
        <row r="9">
          <cell r="V9">
            <v>10000000</v>
          </cell>
        </row>
        <row r="10">
          <cell r="V10">
            <v>2500000</v>
          </cell>
        </row>
      </sheetData>
    </sheetDataSet>
  </externalBook>
</externalLink>
</file>

<file path=xl/externalLinks/externalLink4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 -10"/>
      <sheetName val="Part 11"/>
    </sheetNames>
    <sheetDataSet>
      <sheetData sheetId="0">
        <row r="18">
          <cell r="C18">
            <v>2910</v>
          </cell>
        </row>
        <row r="22">
          <cell r="C22">
            <v>111159287.5</v>
          </cell>
          <cell r="E22">
            <v>1.34E-2</v>
          </cell>
        </row>
      </sheetData>
      <sheetData sheetId="1">
        <row r="49">
          <cell r="C49">
            <v>0</v>
          </cell>
        </row>
      </sheetData>
      <sheetData sheetId="2">
        <row r="32">
          <cell r="C32">
            <v>1098084.0938135241</v>
          </cell>
        </row>
      </sheetData>
      <sheetData sheetId="3">
        <row r="4">
          <cell r="C4">
            <v>110091929.45999999</v>
          </cell>
          <cell r="E4">
            <v>754024.32</v>
          </cell>
          <cell r="F4">
            <v>224839.21</v>
          </cell>
          <cell r="G4">
            <v>37302.32</v>
          </cell>
          <cell r="H4">
            <v>51192.19</v>
          </cell>
          <cell r="J4">
            <v>0</v>
          </cell>
        </row>
        <row r="16">
          <cell r="O16">
            <v>0</v>
          </cell>
        </row>
      </sheetData>
      <sheetData sheetId="4">
        <row r="8">
          <cell r="V8">
            <v>99825826.710320368</v>
          </cell>
        </row>
        <row r="9">
          <cell r="V9">
            <v>10000000</v>
          </cell>
        </row>
        <row r="10">
          <cell r="V10">
            <v>2500000</v>
          </cell>
        </row>
      </sheetData>
    </sheetDataSet>
  </externalBook>
</externalLink>
</file>

<file path=xl/externalLinks/externalLink4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 -10"/>
      <sheetName val="Part 11"/>
    </sheetNames>
    <sheetDataSet>
      <sheetData sheetId="0" refreshError="1">
        <row r="18">
          <cell r="C18">
            <v>2898</v>
          </cell>
        </row>
        <row r="22">
          <cell r="C22">
            <v>110363495.51000001</v>
          </cell>
          <cell r="E22">
            <v>1.3899999999999999E-2</v>
          </cell>
        </row>
      </sheetData>
      <sheetData sheetId="1" refreshError="1">
        <row r="49">
          <cell r="C49">
            <v>141116.07</v>
          </cell>
        </row>
      </sheetData>
      <sheetData sheetId="2" refreshError="1">
        <row r="32">
          <cell r="C32">
            <v>1092743.6677335242</v>
          </cell>
        </row>
      </sheetData>
      <sheetData sheetId="3" refreshError="1">
        <row r="4">
          <cell r="C4">
            <v>108959222.31999999</v>
          </cell>
          <cell r="E4">
            <v>885125.27</v>
          </cell>
          <cell r="F4">
            <v>407937.33</v>
          </cell>
          <cell r="G4">
            <v>73878.27</v>
          </cell>
          <cell r="H4">
            <v>37302.32</v>
          </cell>
          <cell r="J4">
            <v>0</v>
          </cell>
        </row>
        <row r="16">
          <cell r="O16">
            <v>0</v>
          </cell>
        </row>
      </sheetData>
      <sheetData sheetId="4" refreshError="1">
        <row r="8">
          <cell r="V8">
            <v>99340333.430320367</v>
          </cell>
        </row>
        <row r="9">
          <cell r="V9">
            <v>10000000</v>
          </cell>
        </row>
        <row r="10">
          <cell r="V10">
            <v>2500000</v>
          </cell>
        </row>
      </sheetData>
    </sheetDataSet>
  </externalBook>
</externalLink>
</file>

<file path=xl/externalLinks/externalLink4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 -10"/>
      <sheetName val="Part 11"/>
    </sheetNames>
    <sheetDataSet>
      <sheetData sheetId="0">
        <row r="18">
          <cell r="C18">
            <v>2890</v>
          </cell>
        </row>
        <row r="22">
          <cell r="C22">
            <v>109725914.70999999</v>
          </cell>
        </row>
      </sheetData>
      <sheetData sheetId="1">
        <row r="49">
          <cell r="C49">
            <v>67858.09</v>
          </cell>
        </row>
      </sheetData>
      <sheetData sheetId="2">
        <row r="32">
          <cell r="C32">
            <v>1089055.9240035238</v>
          </cell>
        </row>
      </sheetData>
      <sheetData sheetId="3">
        <row r="4">
          <cell r="C4">
            <v>108458494.89999999</v>
          </cell>
          <cell r="E4">
            <v>733971.16</v>
          </cell>
          <cell r="F4">
            <v>297192.96000000002</v>
          </cell>
          <cell r="G4">
            <v>167768.19</v>
          </cell>
          <cell r="H4">
            <v>31185.18</v>
          </cell>
          <cell r="J4">
            <v>37302.32</v>
          </cell>
        </row>
        <row r="16">
          <cell r="O16">
            <v>0</v>
          </cell>
        </row>
      </sheetData>
      <sheetData sheetId="4">
        <row r="8">
          <cell r="V8">
            <v>99005084.00032036</v>
          </cell>
        </row>
        <row r="9">
          <cell r="V9">
            <v>10000000</v>
          </cell>
        </row>
        <row r="10">
          <cell r="V10">
            <v>2500000</v>
          </cell>
        </row>
      </sheetData>
    </sheetDataSet>
  </externalBook>
</externalLink>
</file>

<file path=xl/externalLinks/externalLink4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 -10"/>
      <sheetName val="Part 11"/>
    </sheetNames>
    <sheetDataSet>
      <sheetData sheetId="0">
        <row r="18">
          <cell r="C18">
            <v>2882</v>
          </cell>
        </row>
        <row r="22">
          <cell r="C22">
            <v>109058367.23</v>
          </cell>
        </row>
      </sheetData>
      <sheetData sheetId="1">
        <row r="49">
          <cell r="C49">
            <v>71159.360000000001</v>
          </cell>
        </row>
      </sheetData>
      <sheetData sheetId="2">
        <row r="32">
          <cell r="C32">
            <v>1085133.8007435242</v>
          </cell>
        </row>
      </sheetData>
      <sheetData sheetId="3">
        <row r="4">
          <cell r="C4">
            <v>106880716.52</v>
          </cell>
          <cell r="E4">
            <v>1291084.6100000001</v>
          </cell>
          <cell r="F4">
            <v>469843.88</v>
          </cell>
          <cell r="G4">
            <v>102051.15</v>
          </cell>
          <cell r="H4">
            <v>167201.28</v>
          </cell>
          <cell r="J4">
            <v>39131.730000000003</v>
          </cell>
        </row>
      </sheetData>
      <sheetData sheetId="4">
        <row r="8">
          <cell r="V8">
            <v>98648527.340320364</v>
          </cell>
        </row>
        <row r="9">
          <cell r="V9">
            <v>10000000</v>
          </cell>
        </row>
        <row r="10">
          <cell r="V10">
            <v>2500000</v>
          </cell>
        </row>
      </sheetData>
    </sheetDataSet>
  </externalBook>
</externalLink>
</file>

<file path=xl/externalLinks/externalLink4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 -10"/>
      <sheetName val="Part 11"/>
    </sheetNames>
    <sheetDataSet>
      <sheetData sheetId="0">
        <row r="18">
          <cell r="C18">
            <v>2871</v>
          </cell>
        </row>
        <row r="22">
          <cell r="C22">
            <v>108252103.56</v>
          </cell>
        </row>
      </sheetData>
      <sheetData sheetId="1">
        <row r="49">
          <cell r="C49">
            <v>143832.87</v>
          </cell>
        </row>
      </sheetData>
      <sheetData sheetId="2">
        <row r="32">
          <cell r="C32">
            <v>1079543.6066835241</v>
          </cell>
        </row>
      </sheetData>
      <sheetData sheetId="3">
        <row r="4">
          <cell r="C4">
            <v>106113066.96000001</v>
          </cell>
          <cell r="E4">
            <v>1258192.69</v>
          </cell>
          <cell r="F4">
            <v>493542.14</v>
          </cell>
          <cell r="G4">
            <v>50799.86</v>
          </cell>
          <cell r="H4">
            <v>101826.25</v>
          </cell>
          <cell r="J4">
            <v>169030.69</v>
          </cell>
        </row>
        <row r="16">
          <cell r="O16">
            <v>39131.730000000003</v>
          </cell>
        </row>
      </sheetData>
      <sheetData sheetId="4">
        <row r="8">
          <cell r="V8">
            <v>98140327.88032037</v>
          </cell>
        </row>
        <row r="9">
          <cell r="V9">
            <v>10000000</v>
          </cell>
        </row>
        <row r="10">
          <cell r="V10">
            <v>2500000</v>
          </cell>
        </row>
      </sheetData>
    </sheetDataSet>
  </externalBook>
</externalLink>
</file>

<file path=xl/externalLinks/externalLink4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 -10"/>
      <sheetName val="Part 11"/>
    </sheetNames>
    <sheetDataSet>
      <sheetData sheetId="0" refreshError="1">
        <row r="18">
          <cell r="C18">
            <v>2861</v>
          </cell>
        </row>
        <row r="22">
          <cell r="C22">
            <v>107498077.16</v>
          </cell>
        </row>
      </sheetData>
      <sheetData sheetId="1" refreshError="1">
        <row r="49">
          <cell r="C49">
            <v>152922.43</v>
          </cell>
        </row>
      </sheetData>
      <sheetData sheetId="2" refreshError="1">
        <row r="32">
          <cell r="C32">
            <v>1074599.4996035241</v>
          </cell>
        </row>
      </sheetData>
      <sheetData sheetId="3" refreshError="1">
        <row r="4">
          <cell r="C4">
            <v>104852083.12</v>
          </cell>
          <cell r="E4">
            <v>1620081.67</v>
          </cell>
          <cell r="F4">
            <v>583649.64</v>
          </cell>
          <cell r="G4">
            <v>171547.25</v>
          </cell>
          <cell r="H4">
            <v>42693.09</v>
          </cell>
          <cell r="J4">
            <v>37302.32</v>
          </cell>
        </row>
      </sheetData>
      <sheetData sheetId="4" refreshError="1">
        <row r="8">
          <cell r="V8">
            <v>97690863.600320369</v>
          </cell>
        </row>
        <row r="9">
          <cell r="V9">
            <v>10000000</v>
          </cell>
        </row>
        <row r="10">
          <cell r="V10">
            <v>2500000</v>
          </cell>
        </row>
      </sheetData>
    </sheetDataSet>
  </externalBook>
</externalLink>
</file>

<file path=xl/externalLinks/externalLink4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 -10"/>
      <sheetName val="Part 11"/>
    </sheetNames>
    <sheetDataSet>
      <sheetData sheetId="0" refreshError="1">
        <row r="18">
          <cell r="C18">
            <v>2852</v>
          </cell>
        </row>
        <row r="22">
          <cell r="C22">
            <v>106835243.98999999</v>
          </cell>
        </row>
      </sheetData>
      <sheetData sheetId="1" refreshError="1">
        <row r="49">
          <cell r="C49">
            <v>100582.74</v>
          </cell>
        </row>
      </sheetData>
      <sheetData sheetId="2" refreshError="1">
        <row r="32">
          <cell r="C32">
            <v>1070611.559493524</v>
          </cell>
        </row>
      </sheetData>
      <sheetData sheetId="3" refreshError="1">
        <row r="4">
          <cell r="C4">
            <v>103870176.98</v>
          </cell>
          <cell r="E4">
            <v>1671583.7</v>
          </cell>
          <cell r="F4">
            <v>605629.71</v>
          </cell>
          <cell r="G4">
            <v>435590.3</v>
          </cell>
          <cell r="H4">
            <v>73435.740000000005</v>
          </cell>
        </row>
        <row r="16">
          <cell r="O16">
            <v>37302.32</v>
          </cell>
        </row>
      </sheetData>
      <sheetData sheetId="4" refreshError="1">
        <row r="8">
          <cell r="V8">
            <v>97328323.590320364</v>
          </cell>
        </row>
        <row r="9">
          <cell r="V9">
            <v>10000000</v>
          </cell>
        </row>
        <row r="10">
          <cell r="V10">
            <v>2500000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/>
      <sheetData sheetId="4"/>
    </sheetDataSet>
  </externalBook>
</externalLink>
</file>

<file path=xl/externalLinks/externalLink4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 -10"/>
      <sheetName val="Part 11"/>
    </sheetNames>
    <sheetDataSet>
      <sheetData sheetId="0" refreshError="1">
        <row r="18">
          <cell r="C18">
            <v>2852</v>
          </cell>
        </row>
        <row r="22">
          <cell r="C22">
            <v>106051425.75</v>
          </cell>
        </row>
      </sheetData>
      <sheetData sheetId="1" refreshError="1">
        <row r="49">
          <cell r="C49">
            <v>176728.34</v>
          </cell>
        </row>
      </sheetData>
      <sheetData sheetId="2" refreshError="1">
        <row r="32">
          <cell r="C32">
            <v>1065174.1408035241</v>
          </cell>
        </row>
      </sheetData>
      <sheetData sheetId="3" refreshError="1">
        <row r="4">
          <cell r="C4">
            <v>103121091.64000002</v>
          </cell>
          <cell r="E4">
            <v>1535414.55</v>
          </cell>
          <cell r="F4">
            <v>613114.05000000005</v>
          </cell>
          <cell r="G4">
            <v>352611.36</v>
          </cell>
          <cell r="H4">
            <v>250366.59</v>
          </cell>
          <cell r="J4">
            <v>0</v>
          </cell>
        </row>
      </sheetData>
      <sheetData sheetId="4" refreshError="1">
        <row r="8">
          <cell r="V8">
            <v>96834012.800320357</v>
          </cell>
        </row>
        <row r="9">
          <cell r="V9">
            <v>10000000</v>
          </cell>
        </row>
        <row r="10">
          <cell r="V10">
            <v>2500000</v>
          </cell>
        </row>
      </sheetData>
    </sheetDataSet>
  </externalBook>
</externalLink>
</file>

<file path=xl/externalLinks/externalLink4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mulos"/>
      <sheetName val="Hoja2"/>
      <sheetName val="Dic-21"/>
      <sheetName val="Ene-22"/>
      <sheetName val="Feb-22"/>
      <sheetName val="Mar-22"/>
      <sheetName val="Abr-22"/>
      <sheetName val="May-22"/>
      <sheetName val="Jun-22"/>
      <sheetName val="Jul-22"/>
      <sheetName val="Ago-22"/>
      <sheetName val="Sep-22"/>
      <sheetName val="Oct-22"/>
      <sheetName val="Nov-22"/>
      <sheetName val="Dic-22"/>
      <sheetName val="Ene-23"/>
      <sheetName val="Feb-23"/>
      <sheetName val="Mar-23"/>
      <sheetName val="Abr-23"/>
      <sheetName val="May-23"/>
      <sheetName val="Jun-23"/>
      <sheetName val="Jul-23"/>
      <sheetName val="Ago-23"/>
      <sheetName val="Sep-23"/>
      <sheetName val="Oct-23"/>
      <sheetName val="Nov-23"/>
      <sheetName val="Dic-23"/>
      <sheetName val="Ene-24"/>
      <sheetName val="Feb-24"/>
      <sheetName val="Mar-24"/>
      <sheetName val="Abr-24"/>
      <sheetName val="May-24"/>
      <sheetName val="Jun-24"/>
      <sheetName val="Jul-24"/>
      <sheetName val="Ago-24"/>
      <sheetName val="Sep-24"/>
      <sheetName val="Oct-24"/>
      <sheetName val="Nov-24"/>
      <sheetName val="Dic-24"/>
      <sheetName val="Ene-25"/>
      <sheetName val="Feb-25"/>
      <sheetName val="Mar-25"/>
      <sheetName val="Abr-25"/>
      <sheetName val="May-25"/>
      <sheetName val="Jun-25"/>
      <sheetName val="Jul-25"/>
      <sheetName val="Ago-25"/>
      <sheetName val="Sep-25"/>
      <sheetName val="Oct-25"/>
      <sheetName val="Nov-25"/>
      <sheetName val="Dic-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52">
          <cell r="C52">
            <v>1061299.8900000001</v>
          </cell>
        </row>
      </sheetData>
      <sheetData sheetId="24">
        <row r="52">
          <cell r="C52">
            <v>1035997.86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1961</v>
          </cell>
        </row>
        <row r="22">
          <cell r="C22">
            <v>41306926.079999998</v>
          </cell>
        </row>
      </sheetData>
      <sheetData sheetId="1">
        <row r="49">
          <cell r="C49">
            <v>68179.070000000007</v>
          </cell>
        </row>
      </sheetData>
      <sheetData sheetId="2">
        <row r="58">
          <cell r="C58">
            <v>0</v>
          </cell>
        </row>
      </sheetData>
      <sheetData sheetId="3">
        <row r="4">
          <cell r="C4">
            <v>39715597.18</v>
          </cell>
          <cell r="E4">
            <v>584846.66</v>
          </cell>
          <cell r="F4">
            <v>339793.13</v>
          </cell>
          <cell r="G4">
            <v>133285.57999999999</v>
          </cell>
          <cell r="H4">
            <v>80202.13</v>
          </cell>
          <cell r="J4">
            <v>12853.44</v>
          </cell>
        </row>
      </sheetData>
      <sheetData sheetId="4">
        <row r="8">
          <cell r="V8">
            <v>32064466.889000021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>
        <row r="18">
          <cell r="C18">
            <v>15401.67</v>
          </cell>
        </row>
      </sheetData>
      <sheetData sheetId="2"/>
      <sheetData sheetId="3"/>
      <sheetData sheetId="4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1955</v>
          </cell>
        </row>
        <row r="22">
          <cell r="C22">
            <v>41112243.530000001</v>
          </cell>
        </row>
      </sheetData>
      <sheetData sheetId="1">
        <row r="49">
          <cell r="C49">
            <v>56818.85</v>
          </cell>
        </row>
      </sheetData>
      <sheetData sheetId="2">
        <row r="58">
          <cell r="C58">
            <v>1042274.93</v>
          </cell>
        </row>
      </sheetData>
      <sheetData sheetId="3">
        <row r="4">
          <cell r="C4">
            <v>39127335.510000005</v>
          </cell>
          <cell r="E4">
            <v>929504.19</v>
          </cell>
          <cell r="F4">
            <v>365616.8</v>
          </cell>
          <cell r="G4">
            <v>151978.29999999999</v>
          </cell>
          <cell r="H4">
            <v>35750.160000000003</v>
          </cell>
          <cell r="J4">
            <v>68570.52</v>
          </cell>
        </row>
      </sheetData>
      <sheetData sheetId="4">
        <row r="8">
          <cell r="V8">
            <v>32064466.889000021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>
        <row r="18">
          <cell r="C18">
            <v>31685.29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2097</v>
          </cell>
        </row>
        <row r="22">
          <cell r="C22">
            <v>46927397.810000002</v>
          </cell>
        </row>
      </sheetData>
      <sheetData sheetId="1">
        <row r="49">
          <cell r="C49">
            <v>154372.89000000001</v>
          </cell>
        </row>
      </sheetData>
      <sheetData sheetId="2">
        <row r="46">
          <cell r="C46">
            <v>0</v>
          </cell>
        </row>
      </sheetData>
      <sheetData sheetId="3">
        <row r="4">
          <cell r="C4">
            <v>45236424.309999995</v>
          </cell>
          <cell r="E4">
            <v>793915.42</v>
          </cell>
          <cell r="F4">
            <v>472963.05</v>
          </cell>
          <cell r="G4">
            <v>129453.21</v>
          </cell>
          <cell r="H4">
            <v>0</v>
          </cell>
          <cell r="J4">
            <v>43179.27</v>
          </cell>
        </row>
      </sheetData>
      <sheetData sheetId="4">
        <row r="8">
          <cell r="V8">
            <v>39117984.79900001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1942</v>
          </cell>
        </row>
        <row r="22">
          <cell r="C22">
            <v>40645305.950000003</v>
          </cell>
        </row>
      </sheetData>
      <sheetData sheetId="1">
        <row r="49">
          <cell r="C49">
            <v>52032.66</v>
          </cell>
        </row>
      </sheetData>
      <sheetData sheetId="2">
        <row r="58">
          <cell r="C58">
            <v>0</v>
          </cell>
        </row>
      </sheetData>
      <sheetData sheetId="3">
        <row r="4">
          <cell r="C4">
            <v>38039976.829999998</v>
          </cell>
          <cell r="E4">
            <v>1187329.1000000001</v>
          </cell>
          <cell r="F4">
            <v>754900.03</v>
          </cell>
          <cell r="G4">
            <v>191612</v>
          </cell>
          <cell r="H4">
            <v>81958.880000000005</v>
          </cell>
          <cell r="J4">
            <v>50689.98</v>
          </cell>
        </row>
      </sheetData>
      <sheetData sheetId="4">
        <row r="8">
          <cell r="V8">
            <v>31725668.779000022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/>
      <sheetData sheetId="2"/>
      <sheetData sheetId="3">
        <row r="15">
          <cell r="P15">
            <v>8509.1500000000015</v>
          </cell>
        </row>
      </sheetData>
      <sheetData sheetId="4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1938</v>
          </cell>
        </row>
        <row r="22">
          <cell r="C22">
            <v>40459063.229999997</v>
          </cell>
        </row>
      </sheetData>
      <sheetData sheetId="1">
        <row r="49">
          <cell r="C49">
            <v>47357.77</v>
          </cell>
        </row>
      </sheetData>
      <sheetData sheetId="2">
        <row r="58">
          <cell r="C58">
            <v>0</v>
          </cell>
        </row>
      </sheetData>
      <sheetData sheetId="3">
        <row r="4">
          <cell r="C4">
            <v>37924414.671999998</v>
          </cell>
          <cell r="E4">
            <v>1009759.11</v>
          </cell>
          <cell r="F4">
            <v>610192.18000000005</v>
          </cell>
          <cell r="G4">
            <v>424033.61</v>
          </cell>
          <cell r="H4">
            <v>99798.71</v>
          </cell>
          <cell r="J4">
            <v>33823.17</v>
          </cell>
        </row>
      </sheetData>
      <sheetData sheetId="4">
        <row r="8">
          <cell r="V8">
            <v>31583550.329000022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/>
      <sheetData sheetId="2"/>
      <sheetData sheetId="3">
        <row r="15">
          <cell r="P15">
            <v>0</v>
          </cell>
        </row>
      </sheetData>
      <sheetData sheetId="4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1936</v>
          </cell>
        </row>
        <row r="22">
          <cell r="C22">
            <v>40275411.93</v>
          </cell>
        </row>
      </sheetData>
      <sheetData sheetId="1">
        <row r="49">
          <cell r="C49">
            <v>31555.31</v>
          </cell>
        </row>
      </sheetData>
      <sheetData sheetId="2">
        <row r="58">
          <cell r="C58">
            <v>0</v>
          </cell>
        </row>
      </sheetData>
      <sheetData sheetId="3">
        <row r="4">
          <cell r="C4">
            <v>37397245.629999995</v>
          </cell>
          <cell r="E4">
            <v>1073225.75</v>
          </cell>
          <cell r="F4">
            <v>761285.89</v>
          </cell>
          <cell r="G4">
            <v>399463.28</v>
          </cell>
          <cell r="H4">
            <v>170788.86</v>
          </cell>
          <cell r="J4">
            <v>82589.490000000005</v>
          </cell>
        </row>
      </sheetData>
      <sheetData sheetId="4">
        <row r="8">
          <cell r="V8">
            <v>31432027.809000023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/>
      <sheetData sheetId="2"/>
      <sheetData sheetId="3">
        <row r="15">
          <cell r="P15">
            <v>32141.31</v>
          </cell>
        </row>
      </sheetData>
      <sheetData sheetId="4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1927</v>
          </cell>
        </row>
        <row r="22">
          <cell r="C22">
            <v>39957332.490000002</v>
          </cell>
        </row>
      </sheetData>
      <sheetData sheetId="1">
        <row r="49">
          <cell r="C49">
            <v>169681.4</v>
          </cell>
        </row>
      </sheetData>
      <sheetData sheetId="2">
        <row r="58">
          <cell r="C58">
            <v>0</v>
          </cell>
        </row>
      </sheetData>
      <sheetData sheetId="3">
        <row r="4">
          <cell r="C4">
            <v>36727678.700000003</v>
          </cell>
          <cell r="E4">
            <v>1250333.45</v>
          </cell>
          <cell r="F4">
            <v>952491.71</v>
          </cell>
          <cell r="G4">
            <v>324384.02</v>
          </cell>
          <cell r="H4">
            <v>178143.5</v>
          </cell>
          <cell r="J4">
            <v>115681.1</v>
          </cell>
        </row>
      </sheetData>
      <sheetData sheetId="4">
        <row r="8">
          <cell r="V8">
            <v>31149066.589000024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 refreshError="1"/>
      <sheetData sheetId="1" refreshError="1"/>
      <sheetData sheetId="2" refreshError="1"/>
      <sheetData sheetId="3" refreshError="1">
        <row r="15">
          <cell r="P15">
            <v>20368.68</v>
          </cell>
        </row>
      </sheetData>
      <sheetData sheetId="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1927</v>
          </cell>
        </row>
        <row r="22">
          <cell r="C22">
            <v>39957332.490000002</v>
          </cell>
        </row>
      </sheetData>
      <sheetData sheetId="1">
        <row r="49">
          <cell r="C49">
            <v>169681.4</v>
          </cell>
        </row>
      </sheetData>
      <sheetData sheetId="2">
        <row r="58">
          <cell r="C58">
            <v>0</v>
          </cell>
        </row>
      </sheetData>
      <sheetData sheetId="3">
        <row r="4">
          <cell r="C4">
            <v>36727678.700000003</v>
          </cell>
          <cell r="E4">
            <v>1250333.45</v>
          </cell>
          <cell r="F4">
            <v>952491.71</v>
          </cell>
          <cell r="G4">
            <v>324384.02</v>
          </cell>
          <cell r="H4">
            <v>178143.5</v>
          </cell>
          <cell r="J4">
            <v>115681.1</v>
          </cell>
        </row>
        <row r="15">
          <cell r="P15">
            <v>49868.229999999996</v>
          </cell>
        </row>
      </sheetData>
      <sheetData sheetId="4">
        <row r="8">
          <cell r="V8">
            <v>31149066.589000024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1923</v>
          </cell>
        </row>
        <row r="22">
          <cell r="C22">
            <v>39786294.659999996</v>
          </cell>
        </row>
      </sheetData>
      <sheetData sheetId="1">
        <row r="49">
          <cell r="C49">
            <v>48817.16</v>
          </cell>
        </row>
      </sheetData>
      <sheetData sheetId="2">
        <row r="58">
          <cell r="C58">
            <v>0</v>
          </cell>
        </row>
      </sheetData>
      <sheetData sheetId="3">
        <row r="4">
          <cell r="C4">
            <v>36541825.140000001</v>
          </cell>
          <cell r="E4">
            <v>1012304.13</v>
          </cell>
          <cell r="F4">
            <v>986234.04</v>
          </cell>
          <cell r="G4">
            <v>407085.22</v>
          </cell>
          <cell r="H4">
            <v>220830.1</v>
          </cell>
          <cell r="J4">
            <v>186762.15</v>
          </cell>
        </row>
        <row r="15">
          <cell r="P15">
            <v>0</v>
          </cell>
        </row>
      </sheetData>
      <sheetData sheetId="4">
        <row r="8">
          <cell r="V8">
            <v>31042602.839000024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 refreshError="1">
        <row r="18">
          <cell r="C18">
            <v>2091</v>
          </cell>
        </row>
        <row r="22">
          <cell r="C22">
            <v>46620895.369999997</v>
          </cell>
        </row>
      </sheetData>
      <sheetData sheetId="1" refreshError="1">
        <row r="49">
          <cell r="C49">
            <v>128462.73</v>
          </cell>
        </row>
      </sheetData>
      <sheetData sheetId="2" refreshError="1">
        <row r="46">
          <cell r="C46">
            <v>0</v>
          </cell>
        </row>
      </sheetData>
      <sheetData sheetId="3" refreshError="1">
        <row r="4">
          <cell r="C4">
            <v>44935855.109999992</v>
          </cell>
          <cell r="E4">
            <v>774204.91</v>
          </cell>
          <cell r="F4">
            <v>494616.23</v>
          </cell>
          <cell r="G4">
            <v>102187.5</v>
          </cell>
          <cell r="H4">
            <v>31582.37</v>
          </cell>
          <cell r="J4">
            <v>0</v>
          </cell>
        </row>
      </sheetData>
      <sheetData sheetId="4" refreshError="1">
        <row r="8">
          <cell r="V8">
            <v>38863671.289000012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1917</v>
          </cell>
        </row>
        <row r="22">
          <cell r="C22">
            <v>39541114.450000003</v>
          </cell>
        </row>
      </sheetData>
      <sheetData sheetId="1">
        <row r="49">
          <cell r="C49">
            <v>91542.57</v>
          </cell>
        </row>
      </sheetData>
      <sheetData sheetId="2">
        <row r="58">
          <cell r="C58">
            <v>0</v>
          </cell>
        </row>
      </sheetData>
      <sheetData sheetId="3">
        <row r="4">
          <cell r="C4">
            <v>36476893.799999997</v>
          </cell>
          <cell r="E4">
            <v>882166.73</v>
          </cell>
          <cell r="F4">
            <v>847318.89</v>
          </cell>
          <cell r="G4">
            <v>339113.64</v>
          </cell>
          <cell r="H4">
            <v>356730.88</v>
          </cell>
          <cell r="J4">
            <v>162713.70000000001</v>
          </cell>
        </row>
        <row r="15">
          <cell r="P15">
            <v>139004.70000000001</v>
          </cell>
        </row>
      </sheetData>
      <sheetData sheetId="4">
        <row r="8">
          <cell r="U8">
            <v>30838258.389000025</v>
          </cell>
        </row>
        <row r="9">
          <cell r="U9">
            <v>6000000</v>
          </cell>
        </row>
        <row r="10">
          <cell r="U10">
            <v>750000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1910</v>
          </cell>
        </row>
        <row r="22">
          <cell r="C22">
            <v>39322787.07</v>
          </cell>
        </row>
      </sheetData>
      <sheetData sheetId="1">
        <row r="49">
          <cell r="C49">
            <v>49649.4</v>
          </cell>
        </row>
      </sheetData>
      <sheetData sheetId="2">
        <row r="58">
          <cell r="C58">
            <v>0</v>
          </cell>
        </row>
      </sheetData>
      <sheetData sheetId="3">
        <row r="4">
          <cell r="C4">
            <v>36361501.899999999</v>
          </cell>
          <cell r="E4">
            <v>872700.47</v>
          </cell>
          <cell r="F4">
            <v>732344.69</v>
          </cell>
          <cell r="G4">
            <v>338535.25</v>
          </cell>
          <cell r="H4">
            <v>235634.4</v>
          </cell>
          <cell r="J4">
            <v>299428.45</v>
          </cell>
        </row>
        <row r="15">
          <cell r="P15">
            <v>15126.51</v>
          </cell>
        </row>
      </sheetData>
      <sheetData sheetId="4">
        <row r="8">
          <cell r="U8">
            <v>30651483.469000023</v>
          </cell>
        </row>
        <row r="9">
          <cell r="U9">
            <v>6000000</v>
          </cell>
        </row>
        <row r="10">
          <cell r="U10">
            <v>750000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18">
          <cell r="C18">
            <v>1900</v>
          </cell>
        </row>
        <row r="22">
          <cell r="C22">
            <v>39135452.920000002</v>
          </cell>
        </row>
      </sheetData>
      <sheetData sheetId="1">
        <row r="49">
          <cell r="C49">
            <v>52313.49</v>
          </cell>
        </row>
      </sheetData>
      <sheetData sheetId="2">
        <row r="58">
          <cell r="C58">
            <v>0</v>
          </cell>
        </row>
      </sheetData>
      <sheetData sheetId="3">
        <row r="4">
          <cell r="C4">
            <v>35610916.550000004</v>
          </cell>
          <cell r="E4">
            <v>980866.4</v>
          </cell>
          <cell r="F4">
            <v>885688.3</v>
          </cell>
          <cell r="G4">
            <v>369532.35</v>
          </cell>
          <cell r="H4">
            <v>258244.93</v>
          </cell>
          <cell r="J4">
            <v>208775.56</v>
          </cell>
        </row>
      </sheetData>
      <sheetData sheetId="4">
        <row r="8">
          <cell r="U8">
            <v>30502879.059000023</v>
          </cell>
        </row>
        <row r="9">
          <cell r="U9">
            <v>6000000</v>
          </cell>
        </row>
        <row r="10">
          <cell r="U10">
            <v>750000</v>
          </cell>
        </row>
      </sheetData>
      <sheetData sheetId="5">
        <row r="94">
          <cell r="G94">
            <v>304447.2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18">
          <cell r="C18">
            <v>1888</v>
          </cell>
        </row>
        <row r="22">
          <cell r="C22">
            <v>38890694.729999997</v>
          </cell>
        </row>
      </sheetData>
      <sheetData sheetId="1">
        <row r="49">
          <cell r="C49">
            <v>87634.83</v>
          </cell>
        </row>
      </sheetData>
      <sheetData sheetId="2">
        <row r="58">
          <cell r="C58">
            <v>0</v>
          </cell>
        </row>
      </sheetData>
      <sheetData sheetId="3">
        <row r="4">
          <cell r="C4">
            <v>35717133.82</v>
          </cell>
          <cell r="E4">
            <v>879367.58</v>
          </cell>
          <cell r="F4">
            <v>795579.52</v>
          </cell>
          <cell r="G4">
            <v>257491.93</v>
          </cell>
          <cell r="H4">
            <v>212906.62</v>
          </cell>
          <cell r="J4">
            <v>216927.84</v>
          </cell>
        </row>
      </sheetData>
      <sheetData sheetId="4">
        <row r="8">
          <cell r="U8">
            <v>30262029.859000023</v>
          </cell>
        </row>
        <row r="9">
          <cell r="U9">
            <v>6000000</v>
          </cell>
        </row>
        <row r="10">
          <cell r="U10">
            <v>750000</v>
          </cell>
        </row>
      </sheetData>
      <sheetData sheetId="5">
        <row r="99">
          <cell r="G99">
            <v>89488.2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18">
          <cell r="C18">
            <v>1882</v>
          </cell>
        </row>
        <row r="22">
          <cell r="C22">
            <v>38682165.490000002</v>
          </cell>
        </row>
      </sheetData>
      <sheetData sheetId="1">
        <row r="49">
          <cell r="C49">
            <v>69301.259999999995</v>
          </cell>
        </row>
      </sheetData>
      <sheetData sheetId="2">
        <row r="58">
          <cell r="C58">
            <v>0</v>
          </cell>
        </row>
      </sheetData>
      <sheetData sheetId="3">
        <row r="4">
          <cell r="C4">
            <v>35488396.940000005</v>
          </cell>
          <cell r="E4">
            <v>1052707.5900000001</v>
          </cell>
          <cell r="F4">
            <v>533504.31999999995</v>
          </cell>
          <cell r="G4">
            <v>433205.8</v>
          </cell>
          <cell r="H4">
            <v>200105.23</v>
          </cell>
          <cell r="J4">
            <v>172300.59</v>
          </cell>
        </row>
      </sheetData>
      <sheetData sheetId="4">
        <row r="8">
          <cell r="U8">
            <v>30091312.519000024</v>
          </cell>
        </row>
        <row r="9">
          <cell r="U9">
            <v>6000000</v>
          </cell>
        </row>
        <row r="10">
          <cell r="U10">
            <v>750000</v>
          </cell>
        </row>
      </sheetData>
      <sheetData sheetId="5">
        <row r="94">
          <cell r="G94" t="str">
            <v>N/A</v>
          </cell>
        </row>
        <row r="102">
          <cell r="G102">
            <v>63494.1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18">
          <cell r="C18">
            <v>1865</v>
          </cell>
        </row>
        <row r="22">
          <cell r="C22">
            <v>38225635.189999998</v>
          </cell>
        </row>
      </sheetData>
      <sheetData sheetId="1">
        <row r="49">
          <cell r="C49">
            <v>34548.370000000003</v>
          </cell>
        </row>
      </sheetData>
      <sheetData sheetId="2">
        <row r="58">
          <cell r="C58">
            <v>0</v>
          </cell>
        </row>
      </sheetData>
      <sheetData sheetId="3">
        <row r="4">
          <cell r="C4">
            <v>35003755.660000004</v>
          </cell>
          <cell r="E4">
            <v>990116.23</v>
          </cell>
          <cell r="F4">
            <v>821522.22</v>
          </cell>
          <cell r="G4">
            <v>321114.77</v>
          </cell>
          <cell r="H4">
            <v>211195.79</v>
          </cell>
          <cell r="J4">
            <v>37857.93</v>
          </cell>
        </row>
      </sheetData>
      <sheetData sheetId="4">
        <row r="8">
          <cell r="U8"/>
        </row>
        <row r="9">
          <cell r="U9"/>
        </row>
        <row r="10">
          <cell r="U10"/>
        </row>
      </sheetData>
      <sheetData sheetId="5">
        <row r="102">
          <cell r="G102" t="str">
            <v>N/A</v>
          </cell>
        </row>
        <row r="107">
          <cell r="G107">
            <v>58993.599999999999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 refreshError="1">
        <row r="18">
          <cell r="C18">
            <v>1865</v>
          </cell>
        </row>
        <row r="22">
          <cell r="C22">
            <v>38225635.189999998</v>
          </cell>
        </row>
      </sheetData>
      <sheetData sheetId="1" refreshError="1">
        <row r="49">
          <cell r="C49">
            <v>34548.370000000003</v>
          </cell>
        </row>
      </sheetData>
      <sheetData sheetId="2" refreshError="1">
        <row r="58">
          <cell r="C58">
            <v>0</v>
          </cell>
        </row>
      </sheetData>
      <sheetData sheetId="3" refreshError="1">
        <row r="4">
          <cell r="C4">
            <v>35003755.660000004</v>
          </cell>
          <cell r="E4">
            <v>990116.23</v>
          </cell>
          <cell r="F4">
            <v>821522.22</v>
          </cell>
          <cell r="G4">
            <v>321114.77</v>
          </cell>
          <cell r="H4">
            <v>211195.79</v>
          </cell>
          <cell r="J4">
            <v>37857.93</v>
          </cell>
        </row>
      </sheetData>
      <sheetData sheetId="4" refreshError="1">
        <row r="8">
          <cell r="U8"/>
          <cell r="V8">
            <v>29702549.91</v>
          </cell>
        </row>
        <row r="9">
          <cell r="V9">
            <v>6000000</v>
          </cell>
        </row>
        <row r="10">
          <cell r="V10">
            <v>750000</v>
          </cell>
        </row>
      </sheetData>
      <sheetData sheetId="5" refreshError="1">
        <row r="102">
          <cell r="G102" t="str">
            <v>N/A</v>
          </cell>
        </row>
        <row r="107">
          <cell r="G107">
            <v>39437.93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faulted Mortgages"/>
      <sheetName val="Cúmulos"/>
      <sheetName val="May_07"/>
      <sheetName val="May_07(2)"/>
      <sheetName val="Jun_07"/>
      <sheetName val="Jun_07(2)"/>
      <sheetName val="Jul_07"/>
      <sheetName val="Ago_07"/>
      <sheetName val="Sep_07"/>
      <sheetName val="Oct_07"/>
      <sheetName val="Nov_07"/>
      <sheetName val="Dic_07"/>
      <sheetName val="Ene_08"/>
      <sheetName val="Feb_08"/>
      <sheetName val="Mar_08"/>
      <sheetName val="Abr_08"/>
      <sheetName val="May_08"/>
      <sheetName val="Jun_08"/>
      <sheetName val="Jul_08"/>
      <sheetName val="Ago_08"/>
      <sheetName val="Sep_08"/>
      <sheetName val="Oct_08"/>
      <sheetName val="Nov_08"/>
      <sheetName val="Dic_08"/>
      <sheetName val="Ene_09"/>
      <sheetName val="Feb_09"/>
      <sheetName val="Mar_09"/>
      <sheetName val="Abr_09"/>
      <sheetName val="Abr_09 (2)"/>
      <sheetName val="May_09"/>
      <sheetName val="Jun_09"/>
      <sheetName val="Jul_09"/>
      <sheetName val="Ago_09"/>
      <sheetName val="Sep_09"/>
      <sheetName val="Oct_09"/>
      <sheetName val="Nov_09"/>
      <sheetName val="Dic_09"/>
      <sheetName val="Ene_10 Draft"/>
      <sheetName val="Ene_10"/>
      <sheetName val="Feb_10"/>
      <sheetName val="Mar_10"/>
      <sheetName val="Abr_10"/>
      <sheetName val="May_10"/>
      <sheetName val="Jun_10"/>
      <sheetName val="Jul_10"/>
      <sheetName val="Ago_10"/>
      <sheetName val="Sep_10"/>
      <sheetName val="Oct_10"/>
      <sheetName val="Nov_10"/>
      <sheetName val="Dic_10"/>
      <sheetName val="Ene_11"/>
      <sheetName val="Feb_11"/>
      <sheetName val="Mar_11"/>
      <sheetName val="Abr_11"/>
      <sheetName val="May_11"/>
      <sheetName val="Jun_11"/>
      <sheetName val="Jul_11"/>
      <sheetName val="Ago_11"/>
      <sheetName val="Sep_11"/>
      <sheetName val="Oct_11"/>
      <sheetName val="Nov_11"/>
      <sheetName val="Dic_11"/>
      <sheetName val="Ene_12"/>
      <sheetName val="Feb_12"/>
      <sheetName val="Mar_12"/>
      <sheetName val="Abr_12"/>
      <sheetName val="May_12"/>
      <sheetName val="Jun_12"/>
      <sheetName val="Jul_12"/>
      <sheetName val="Ago_12"/>
      <sheetName val="Sep_12"/>
      <sheetName val="Oct_12"/>
      <sheetName val="Nov_12"/>
      <sheetName val="Dic_12"/>
      <sheetName val="Ene_13"/>
      <sheetName val="Feb_13"/>
      <sheetName val="Mar_13"/>
      <sheetName val="Abr_13"/>
      <sheetName val="May_13"/>
      <sheetName val="Jun_13"/>
      <sheetName val="Jul_13"/>
      <sheetName val="Ago_13"/>
      <sheetName val="Sep_13"/>
      <sheetName val="Oct_13"/>
      <sheetName val="Nov_13"/>
      <sheetName val="Dic_13"/>
      <sheetName val="Ene-14"/>
      <sheetName val="Feb-14"/>
      <sheetName val="Mar-14"/>
      <sheetName val="Abr-14"/>
      <sheetName val="May-14"/>
      <sheetName val="Jun-14"/>
      <sheetName val="Jul-14"/>
      <sheetName val="Ago-14"/>
      <sheetName val="Sep-14"/>
      <sheetName val="Oct-14"/>
      <sheetName val="Nov-14"/>
      <sheetName val="Dic-14"/>
      <sheetName val="Ene-15"/>
      <sheetName val="Feb-15"/>
      <sheetName val="Mar-15"/>
      <sheetName val="Abr-15"/>
      <sheetName val="May-15"/>
      <sheetName val="Jun-15"/>
      <sheetName val="Jul-15"/>
      <sheetName val="Ago-15"/>
      <sheetName val="Sep-15"/>
      <sheetName val="Oct-15"/>
      <sheetName val="Nov-15"/>
      <sheetName val="Dic-15"/>
      <sheetName val="Ene-16"/>
      <sheetName val="Feb-16"/>
      <sheetName val="Mar-16"/>
      <sheetName val="Abr-16"/>
      <sheetName val="May-16"/>
      <sheetName val="Jun-16"/>
      <sheetName val="Jul-16"/>
      <sheetName val="Ago-16"/>
      <sheetName val="Sep-16"/>
      <sheetName val="Oct-16"/>
      <sheetName val="Nov-16"/>
      <sheetName val="Dic-16"/>
      <sheetName val="Ene-17"/>
      <sheetName val="Feb-17"/>
      <sheetName val="Mar-17"/>
      <sheetName val="Abr-17"/>
      <sheetName val="May-17"/>
      <sheetName val="Jun-17"/>
      <sheetName val="Jul-17"/>
      <sheetName val="Ago-17"/>
      <sheetName val="Sep-17"/>
      <sheetName val="Oct-17"/>
      <sheetName val="Nov-17"/>
      <sheetName val="Dic-17"/>
      <sheetName val="Ene-18"/>
      <sheetName val="Feb-18"/>
      <sheetName val="Mar-18"/>
      <sheetName val="Abr-18"/>
      <sheetName val="May-18"/>
      <sheetName val="Jun-18"/>
      <sheetName val="Jul-18"/>
      <sheetName val="Ago-18"/>
      <sheetName val="Sep-18"/>
      <sheetName val="Oct-18"/>
      <sheetName val="Nov-18"/>
      <sheetName val="Dic-18"/>
      <sheetName val="Ene-19"/>
      <sheetName val="Feb-19"/>
      <sheetName val="Mar-19"/>
      <sheetName val="Abr-19"/>
      <sheetName val="May-19"/>
      <sheetName val="Jun-19"/>
      <sheetName val="Jul-19"/>
      <sheetName val="Ago-19"/>
      <sheetName val="Sep-19"/>
      <sheetName val="Oct-19"/>
      <sheetName val="Nov-19"/>
      <sheetName val="Dec-19"/>
      <sheetName val="Ene-20"/>
      <sheetName val="Feb-20"/>
      <sheetName val="Mar-20"/>
      <sheetName val="Abr-20"/>
      <sheetName val="May-20"/>
      <sheetName val="Jun-20"/>
      <sheetName val="Jul-20"/>
      <sheetName val="Ago-20"/>
      <sheetName val="Sep-20"/>
      <sheetName val="Oct-20"/>
      <sheetName val="Nov-20"/>
      <sheetName val="Dec-20"/>
      <sheetName val="Ene-21"/>
      <sheetName val="Feb-21"/>
      <sheetName val="Mar-21"/>
      <sheetName val="Abr-21"/>
      <sheetName val="May-21"/>
      <sheetName val="Jun-21"/>
      <sheetName val="Jul-21"/>
      <sheetName val="Ago-21"/>
      <sheetName val="Sep-21"/>
      <sheetName val="Oct-21"/>
      <sheetName val=" Nov-21 errado"/>
      <sheetName val="Nov-21 correg"/>
      <sheetName val="Dic-21"/>
      <sheetName val="Ene-22"/>
      <sheetName val="Feb-22"/>
      <sheetName val="Part 1"/>
      <sheetName val="Parts 2 - 3"/>
      <sheetName val="Parts 4 - 6 "/>
      <sheetName val="Parts 7-10"/>
      <sheetName val="Part 11"/>
      <sheetName val="Part 11 Deemed Defaults"/>
      <sheetName val="mar-22"/>
      <sheetName val="Cumulos"/>
      <sheetName val="Dercas"/>
      <sheetName val="Jan_13"/>
      <sheetName val="Nov-21"/>
      <sheetName val="Abr-22"/>
      <sheetName val="May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>
        <row r="6">
          <cell r="C6">
            <v>5.7500000000000002E-2</v>
          </cell>
        </row>
      </sheetData>
      <sheetData sheetId="151">
        <row r="6">
          <cell r="C6">
            <v>5.7500000000000002E-2</v>
          </cell>
        </row>
      </sheetData>
      <sheetData sheetId="152">
        <row r="6">
          <cell r="C6">
            <v>5.7500000000000002E-2</v>
          </cell>
        </row>
      </sheetData>
      <sheetData sheetId="153">
        <row r="6">
          <cell r="C6">
            <v>5.7500000000000002E-2</v>
          </cell>
        </row>
      </sheetData>
      <sheetData sheetId="154">
        <row r="6">
          <cell r="C6">
            <v>5.7500000000000002E-2</v>
          </cell>
        </row>
      </sheetData>
      <sheetData sheetId="155">
        <row r="6">
          <cell r="C6">
            <v>5.7500000000000002E-2</v>
          </cell>
        </row>
      </sheetData>
      <sheetData sheetId="156">
        <row r="6">
          <cell r="C6">
            <v>5.7500000000000002E-2</v>
          </cell>
        </row>
      </sheetData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>
        <row r="6">
          <cell r="C6">
            <v>5.7500000000000002E-2</v>
          </cell>
        </row>
      </sheetData>
      <sheetData sheetId="170">
        <row r="6">
          <cell r="C6">
            <v>5.7500000000000002E-2</v>
          </cell>
        </row>
      </sheetData>
      <sheetData sheetId="171">
        <row r="6">
          <cell r="C6">
            <v>5.7500000000000002E-2</v>
          </cell>
        </row>
      </sheetData>
      <sheetData sheetId="172">
        <row r="6">
          <cell r="C6">
            <v>5.7500000000000002E-2</v>
          </cell>
        </row>
      </sheetData>
      <sheetData sheetId="173">
        <row r="6">
          <cell r="C6">
            <v>5.7500000000000002E-2</v>
          </cell>
        </row>
      </sheetData>
      <sheetData sheetId="174">
        <row r="6">
          <cell r="C6">
            <v>5.7500000000000002E-2</v>
          </cell>
        </row>
      </sheetData>
      <sheetData sheetId="175">
        <row r="6">
          <cell r="C6">
            <v>5.7500000000000002E-2</v>
          </cell>
        </row>
      </sheetData>
      <sheetData sheetId="176">
        <row r="6">
          <cell r="C6">
            <v>5.7500000000000002E-2</v>
          </cell>
        </row>
      </sheetData>
      <sheetData sheetId="177">
        <row r="6">
          <cell r="C6">
            <v>5.7500000000000002E-2</v>
          </cell>
        </row>
      </sheetData>
      <sheetData sheetId="178">
        <row r="6">
          <cell r="C6">
            <v>5.7500000000000002E-2</v>
          </cell>
        </row>
      </sheetData>
      <sheetData sheetId="179">
        <row r="6">
          <cell r="C6">
            <v>5.7500000000000002E-2</v>
          </cell>
        </row>
      </sheetData>
      <sheetData sheetId="180"/>
      <sheetData sheetId="181">
        <row r="4">
          <cell r="C4">
            <v>44470</v>
          </cell>
        </row>
      </sheetData>
      <sheetData sheetId="182">
        <row r="6">
          <cell r="C6">
            <v>5.7500000000000002E-2</v>
          </cell>
        </row>
      </sheetData>
      <sheetData sheetId="183">
        <row r="4">
          <cell r="C4">
            <v>44531</v>
          </cell>
        </row>
      </sheetData>
      <sheetData sheetId="184">
        <row r="12">
          <cell r="C12">
            <v>44574</v>
          </cell>
        </row>
      </sheetData>
      <sheetData sheetId="185" refreshError="1">
        <row r="6">
          <cell r="C6"/>
        </row>
      </sheetData>
      <sheetData sheetId="186" refreshError="1"/>
      <sheetData sheetId="187" refreshError="1"/>
      <sheetData sheetId="188" refreshError="1"/>
      <sheetData sheetId="189">
        <row r="62">
          <cell r="F62"/>
        </row>
      </sheetData>
      <sheetData sheetId="190"/>
      <sheetData sheetId="191">
        <row r="57">
          <cell r="E57">
            <v>51537.5</v>
          </cell>
        </row>
      </sheetData>
      <sheetData sheetId="192"/>
      <sheetData sheetId="193"/>
      <sheetData sheetId="194"/>
      <sheetData sheetId="195"/>
      <sheetData sheetId="196">
        <row r="58">
          <cell r="G58">
            <v>0</v>
          </cell>
        </row>
      </sheetData>
      <sheetData sheetId="197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1842</v>
          </cell>
        </row>
        <row r="24">
          <cell r="C24">
            <v>31349783.27</v>
          </cell>
        </row>
      </sheetData>
      <sheetData sheetId="1">
        <row r="49">
          <cell r="C49">
            <v>9</v>
          </cell>
        </row>
        <row r="51">
          <cell r="C51">
            <v>146173.24</v>
          </cell>
        </row>
      </sheetData>
      <sheetData sheetId="2">
        <row r="33">
          <cell r="C33">
            <v>206398.16791650007</v>
          </cell>
        </row>
        <row r="46">
          <cell r="C46">
            <v>0</v>
          </cell>
        </row>
      </sheetData>
      <sheetData sheetId="3">
        <row r="4">
          <cell r="C4">
            <v>30435461.559999999</v>
          </cell>
          <cell r="E4">
            <v>560468.67000000004</v>
          </cell>
          <cell r="F4">
            <v>118668.49</v>
          </cell>
          <cell r="G4">
            <v>48641.65</v>
          </cell>
          <cell r="H4">
            <v>61078.31</v>
          </cell>
          <cell r="J4">
            <v>10596.38</v>
          </cell>
        </row>
      </sheetData>
      <sheetData sheetId="4">
        <row r="8">
          <cell r="V8">
            <v>16093301.000000004</v>
          </cell>
        </row>
      </sheetData>
      <sheetData sheetId="5">
        <row r="88">
          <cell r="L88">
            <v>14768.89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1836</v>
          </cell>
        </row>
        <row r="24">
          <cell r="C24">
            <v>31140452.879999999</v>
          </cell>
        </row>
      </sheetData>
      <sheetData sheetId="1">
        <row r="49">
          <cell r="C49">
            <v>6</v>
          </cell>
        </row>
        <row r="51">
          <cell r="C51">
            <v>70333.66</v>
          </cell>
        </row>
      </sheetData>
      <sheetData sheetId="2">
        <row r="33">
          <cell r="C33">
            <v>222278.6620256126</v>
          </cell>
        </row>
        <row r="46">
          <cell r="C46">
            <v>0</v>
          </cell>
        </row>
      </sheetData>
      <sheetData sheetId="3">
        <row r="4">
          <cell r="C4">
            <v>29940280.770000003</v>
          </cell>
          <cell r="E4">
            <v>775689.05</v>
          </cell>
          <cell r="F4">
            <v>213050.82</v>
          </cell>
          <cell r="G4">
            <v>0</v>
          </cell>
          <cell r="H4">
            <v>69419.350000000006</v>
          </cell>
          <cell r="J4">
            <v>31317.19</v>
          </cell>
        </row>
      </sheetData>
      <sheetData sheetId="4">
        <row r="8">
          <cell r="V8">
            <v>15864463.570000004</v>
          </cell>
        </row>
      </sheetData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2073</v>
          </cell>
        </row>
        <row r="22">
          <cell r="C22">
            <v>45899005.259999998</v>
          </cell>
        </row>
      </sheetData>
      <sheetData sheetId="1">
        <row r="49">
          <cell r="C49">
            <v>155856.18</v>
          </cell>
        </row>
      </sheetData>
      <sheetData sheetId="2">
        <row r="46">
          <cell r="C46">
            <v>0</v>
          </cell>
        </row>
      </sheetData>
      <sheetData sheetId="3">
        <row r="4">
          <cell r="C4">
            <v>44059027.810000002</v>
          </cell>
          <cell r="E4">
            <v>1088987.98</v>
          </cell>
          <cell r="F4">
            <v>363728.1</v>
          </cell>
          <cell r="G4">
            <v>130770.91</v>
          </cell>
          <cell r="H4">
            <v>49114.67</v>
          </cell>
          <cell r="J4">
            <v>17318.150000000001</v>
          </cell>
        </row>
      </sheetData>
      <sheetData sheetId="4">
        <row r="8">
          <cell r="V8">
            <v>38238527.959000014</v>
          </cell>
        </row>
        <row r="9">
          <cell r="V9">
            <v>6000000</v>
          </cell>
        </row>
        <row r="10">
          <cell r="V10">
            <v>750000</v>
          </cell>
        </row>
        <row r="87">
          <cell r="L87"/>
        </row>
      </sheetData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1828</v>
          </cell>
        </row>
        <row r="24">
          <cell r="C24">
            <v>30926248.57</v>
          </cell>
        </row>
      </sheetData>
      <sheetData sheetId="1">
        <row r="49">
          <cell r="C49">
            <v>7</v>
          </cell>
        </row>
        <row r="51">
          <cell r="C51">
            <v>90836.96</v>
          </cell>
        </row>
      </sheetData>
      <sheetData sheetId="2">
        <row r="33">
          <cell r="C33">
            <v>185918.2926540917</v>
          </cell>
        </row>
        <row r="46">
          <cell r="C46">
            <v>0</v>
          </cell>
        </row>
      </sheetData>
      <sheetData sheetId="3">
        <row r="4">
          <cell r="C4">
            <v>29542905.07</v>
          </cell>
          <cell r="E4">
            <v>778581.51</v>
          </cell>
          <cell r="F4">
            <v>388247.95</v>
          </cell>
          <cell r="G4">
            <v>34912.379999999997</v>
          </cell>
          <cell r="H4">
            <v>0</v>
          </cell>
          <cell r="J4">
            <v>54357.66</v>
          </cell>
        </row>
      </sheetData>
      <sheetData sheetId="4">
        <row r="8">
          <cell r="V8">
            <v>15623526.020000001</v>
          </cell>
        </row>
      </sheetData>
      <sheetData sheetId="5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1823</v>
          </cell>
        </row>
        <row r="24">
          <cell r="C24">
            <v>30729298.100000001</v>
          </cell>
        </row>
      </sheetData>
      <sheetData sheetId="1">
        <row r="49">
          <cell r="C49">
            <v>5</v>
          </cell>
        </row>
        <row r="51">
          <cell r="C51">
            <v>57665.83</v>
          </cell>
        </row>
      </sheetData>
      <sheetData sheetId="2">
        <row r="33">
          <cell r="C33">
            <v>215790.1884474876</v>
          </cell>
        </row>
        <row r="46">
          <cell r="C46">
            <v>0</v>
          </cell>
        </row>
      </sheetData>
      <sheetData sheetId="3">
        <row r="4">
          <cell r="C4">
            <v>29462931.399999999</v>
          </cell>
          <cell r="E4">
            <v>712653.41</v>
          </cell>
          <cell r="F4">
            <v>347532.09</v>
          </cell>
          <cell r="G4">
            <v>42014.15</v>
          </cell>
          <cell r="H4">
            <v>38702.46</v>
          </cell>
          <cell r="J4">
            <v>14768.89</v>
          </cell>
        </row>
      </sheetData>
      <sheetData sheetId="4">
        <row r="8">
          <cell r="V8">
            <v>15398138.790000003</v>
          </cell>
        </row>
      </sheetData>
      <sheetData sheetId="5">
        <row r="88">
          <cell r="L88"/>
        </row>
      </sheetData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1816</v>
          </cell>
        </row>
        <row r="24">
          <cell r="C24">
            <v>30523596.149999999</v>
          </cell>
        </row>
      </sheetData>
      <sheetData sheetId="1">
        <row r="49">
          <cell r="C49">
            <v>7</v>
          </cell>
        </row>
        <row r="51">
          <cell r="C51">
            <v>81554.63</v>
          </cell>
        </row>
      </sheetData>
      <sheetData sheetId="2">
        <row r="33">
          <cell r="C33">
            <v>193342.88018193757</v>
          </cell>
        </row>
        <row r="46">
          <cell r="C46">
            <v>0</v>
          </cell>
        </row>
      </sheetData>
      <sheetData sheetId="3">
        <row r="4">
          <cell r="C4">
            <v>29116433.990000002</v>
          </cell>
          <cell r="E4">
            <v>908233.07</v>
          </cell>
          <cell r="F4">
            <v>270502.19</v>
          </cell>
          <cell r="G4">
            <v>64259.85</v>
          </cell>
          <cell r="H4">
            <v>14768.89</v>
          </cell>
          <cell r="J4">
            <v>38702.46</v>
          </cell>
        </row>
      </sheetData>
      <sheetData sheetId="4">
        <row r="8">
          <cell r="V8">
            <v>15166713.160000002</v>
          </cell>
        </row>
      </sheetData>
      <sheetData sheetId="5">
        <row r="88">
          <cell r="L88"/>
        </row>
      </sheetData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1811</v>
          </cell>
        </row>
        <row r="24">
          <cell r="C24">
            <v>30325853.219999999</v>
          </cell>
        </row>
      </sheetData>
      <sheetData sheetId="1">
        <row r="49">
          <cell r="C49">
            <v>5</v>
          </cell>
        </row>
        <row r="51">
          <cell r="C51">
            <v>46681.35</v>
          </cell>
        </row>
      </sheetData>
      <sheetData sheetId="2">
        <row r="33">
          <cell r="C33">
            <v>184089.1407114084</v>
          </cell>
        </row>
        <row r="46">
          <cell r="C46">
            <v>0</v>
          </cell>
        </row>
      </sheetData>
      <sheetData sheetId="3">
        <row r="4">
          <cell r="C4">
            <v>28920333.220000003</v>
          </cell>
          <cell r="E4">
            <v>826839.93</v>
          </cell>
          <cell r="F4">
            <v>311169.42</v>
          </cell>
          <cell r="G4">
            <v>80998.8</v>
          </cell>
          <cell r="H4">
            <v>37113.69</v>
          </cell>
          <cell r="J4">
            <v>0</v>
          </cell>
        </row>
      </sheetData>
      <sheetData sheetId="4">
        <row r="8">
          <cell r="V8">
            <v>14934020.490000004</v>
          </cell>
        </row>
      </sheetData>
      <sheetData sheetId="5">
        <row r="88">
          <cell r="L88"/>
        </row>
      </sheetData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1801</v>
          </cell>
        </row>
        <row r="24">
          <cell r="C24">
            <v>30038815.039999999</v>
          </cell>
        </row>
      </sheetData>
      <sheetData sheetId="1">
        <row r="19">
          <cell r="C19">
            <v>0</v>
          </cell>
        </row>
        <row r="49">
          <cell r="C49">
            <v>10</v>
          </cell>
        </row>
        <row r="51">
          <cell r="C51">
            <v>157090.53</v>
          </cell>
        </row>
      </sheetData>
      <sheetData sheetId="2">
        <row r="33">
          <cell r="C33">
            <v>212517.33408123758</v>
          </cell>
        </row>
        <row r="46">
          <cell r="C46">
            <v>0</v>
          </cell>
        </row>
      </sheetData>
      <sheetData sheetId="3">
        <row r="4">
          <cell r="C4">
            <v>28621603.409999996</v>
          </cell>
          <cell r="E4">
            <v>845013.97</v>
          </cell>
          <cell r="F4">
            <v>364533.75</v>
          </cell>
          <cell r="G4">
            <v>38125.589999999997</v>
          </cell>
          <cell r="H4">
            <v>58842.62</v>
          </cell>
          <cell r="J4">
            <v>0</v>
          </cell>
        </row>
      </sheetData>
      <sheetData sheetId="4">
        <row r="8">
          <cell r="V8">
            <v>14633768.610000003</v>
          </cell>
        </row>
      </sheetData>
      <sheetData sheetId="5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faulted Mortgages"/>
      <sheetName val="Cúmulos"/>
      <sheetName val="May_07"/>
      <sheetName val="May_07(2)"/>
      <sheetName val="Jun_07"/>
      <sheetName val="Jun_07(2)"/>
      <sheetName val="Jul_07"/>
      <sheetName val="Ago_07"/>
      <sheetName val="Sep_07"/>
      <sheetName val="Oct_07"/>
      <sheetName val="Nov_07"/>
      <sheetName val="Dic_07"/>
      <sheetName val="Ene_08"/>
      <sheetName val="Feb_08"/>
      <sheetName val="Mar_08"/>
      <sheetName val="Abr_08"/>
      <sheetName val="May_08"/>
      <sheetName val="Jun_08"/>
      <sheetName val="Jul_08"/>
      <sheetName val="Ago_08"/>
      <sheetName val="Sep_08"/>
      <sheetName val="Oct_08"/>
      <sheetName val="Nov_08"/>
      <sheetName val="Dic_08"/>
      <sheetName val="Ene_09"/>
      <sheetName val="Feb_09"/>
      <sheetName val="Mar_09"/>
      <sheetName val="Abr_09"/>
      <sheetName val="Abr_09 (2)"/>
      <sheetName val="May_09"/>
      <sheetName val="Jun_09"/>
      <sheetName val="Jul_09"/>
      <sheetName val="Ago_09"/>
      <sheetName val="Sep_09"/>
      <sheetName val="Oct_09"/>
      <sheetName val="Nov_09"/>
      <sheetName val="Dic_09"/>
      <sheetName val="Ene_10 Draft"/>
      <sheetName val="Ene_10"/>
      <sheetName val="Feb_10"/>
      <sheetName val="Mar_10"/>
      <sheetName val="Abr_10"/>
      <sheetName val="May_10"/>
      <sheetName val="Jun_10"/>
      <sheetName val="Jul_10"/>
      <sheetName val="Ago_10"/>
      <sheetName val="Sep_10"/>
      <sheetName val="Oct_10"/>
      <sheetName val="Nov_10"/>
      <sheetName val="Dic_10"/>
      <sheetName val="Ene_11"/>
      <sheetName val="Feb_11"/>
      <sheetName val="Mar_11"/>
      <sheetName val="Abr_11"/>
      <sheetName val="May_11"/>
      <sheetName val="Jun_11"/>
      <sheetName val="Jul_11"/>
      <sheetName val="Ago_11"/>
      <sheetName val="Sep_11"/>
      <sheetName val="Oct_11"/>
      <sheetName val="Nov_11"/>
      <sheetName val="Dic_11"/>
      <sheetName val="Ene_12"/>
      <sheetName val="Feb_12"/>
      <sheetName val="Mar_12"/>
      <sheetName val="Abr_12"/>
      <sheetName val="May_12"/>
      <sheetName val="Jun_12"/>
      <sheetName val="Jul_12"/>
      <sheetName val="Ago_12"/>
      <sheetName val="Sep_12"/>
      <sheetName val="Oct_12"/>
      <sheetName val="Nov_12"/>
      <sheetName val="Dic_12"/>
      <sheetName val="Ene_13"/>
      <sheetName val="Feb_13"/>
      <sheetName val="Mar_13"/>
      <sheetName val="Abr_13"/>
      <sheetName val="May_13"/>
      <sheetName val="Jun_13"/>
      <sheetName val="Jul_13"/>
      <sheetName val="Ago_13"/>
      <sheetName val="Sep_13"/>
      <sheetName val="Oct_13"/>
      <sheetName val="Nov_13"/>
      <sheetName val="Dic_13"/>
      <sheetName val="Ene-14"/>
      <sheetName val="Feb-14"/>
      <sheetName val="Mar-14"/>
      <sheetName val="Abr-14"/>
      <sheetName val="May-14"/>
      <sheetName val="Jun-14"/>
      <sheetName val="Jul-14"/>
      <sheetName val="Ago-14"/>
      <sheetName val="Sep-14"/>
      <sheetName val="Oct-14"/>
      <sheetName val="Nov-14"/>
      <sheetName val="Dic-14"/>
      <sheetName val="Ene-15"/>
      <sheetName val="Feb-15"/>
      <sheetName val="Mar-15"/>
      <sheetName val="Abr-15"/>
      <sheetName val="May-15"/>
      <sheetName val="Jun-15"/>
      <sheetName val="Jul-15"/>
      <sheetName val="Ago-15"/>
      <sheetName val="Sep-15"/>
      <sheetName val="Oct-15"/>
      <sheetName val="Nov-15"/>
      <sheetName val="Dic-15"/>
      <sheetName val="Ene-16"/>
      <sheetName val="Feb-16"/>
      <sheetName val="Mar-16"/>
      <sheetName val="Abr-16"/>
      <sheetName val="May-16"/>
      <sheetName val="Jun-16"/>
      <sheetName val="Jul-16"/>
      <sheetName val="Ago-16"/>
      <sheetName val="Sep-16"/>
      <sheetName val="Oct-16"/>
      <sheetName val="Nov-16"/>
      <sheetName val="Dic-16"/>
      <sheetName val="Ene-17"/>
      <sheetName val="Feb-17"/>
      <sheetName val="Mar-17"/>
      <sheetName val="Abr-17"/>
      <sheetName val="May-17"/>
      <sheetName val="Jun-17"/>
      <sheetName val="Jul-17"/>
      <sheetName val="Ago-17"/>
      <sheetName val="Sep-17"/>
      <sheetName val="Oct-17"/>
      <sheetName val="Nov-17"/>
      <sheetName val="Dic-17"/>
      <sheetName val="Ene-18"/>
      <sheetName val="Feb-18"/>
      <sheetName val="Mar-18"/>
      <sheetName val="Abr-18"/>
      <sheetName val="May-18"/>
      <sheetName val="Jun-18"/>
      <sheetName val="Jul-18"/>
      <sheetName val="Ago-18"/>
      <sheetName val="Sep-18"/>
      <sheetName val="Oct-18"/>
      <sheetName val="Nov-18"/>
      <sheetName val="Dic-18"/>
      <sheetName val="Ene-19"/>
      <sheetName val="Feb-19"/>
      <sheetName val="Mar-19"/>
      <sheetName val="Abr-19"/>
      <sheetName val="May-19"/>
      <sheetName val="Jun-19"/>
      <sheetName val="Jul-19"/>
      <sheetName val="Ago-19"/>
      <sheetName val="Sep-19"/>
      <sheetName val="Oct-19"/>
      <sheetName val="Nov-19"/>
      <sheetName val="Dec-19"/>
      <sheetName val="Ene-20"/>
      <sheetName val="Feb-20"/>
      <sheetName val="Mar-20"/>
      <sheetName val="Abr-20"/>
      <sheetName val="May-20"/>
      <sheetName val="Jun-20"/>
      <sheetName val="Jul-20"/>
      <sheetName val="Ago-20"/>
      <sheetName val="Sep-20"/>
      <sheetName val="Oct-20"/>
      <sheetName val="Nov-20"/>
      <sheetName val="Dec-20"/>
      <sheetName val="Ene-21"/>
      <sheetName val="Feb-21"/>
      <sheetName val="Mar-21"/>
      <sheetName val="Abr-21"/>
      <sheetName val="May-21"/>
      <sheetName val="Jun-21"/>
      <sheetName val="Jul-21"/>
      <sheetName val="Ago-21"/>
      <sheetName val="Sep-21"/>
      <sheetName val="Part 1"/>
      <sheetName val="Parts 2 - 3"/>
      <sheetName val="Dic_20"/>
      <sheetName val="Oct_20"/>
      <sheetName val="Nov_20"/>
      <sheetName val="Abr_2011 (ajuste)"/>
      <sheetName val="Dic_2010"/>
      <sheetName val="Ene_2011"/>
      <sheetName val="Feb_2011"/>
      <sheetName val="Abr_2011"/>
    </sheetNames>
    <sheetDataSet>
      <sheetData sheetId="0"/>
      <sheetData sheetId="1">
        <row r="125">
          <cell r="X125">
            <v>5.5926460845512338E-4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>
        <row r="59">
          <cell r="F59">
            <v>13950000</v>
          </cell>
        </row>
      </sheetData>
      <sheetData sheetId="125">
        <row r="59">
          <cell r="F59">
            <v>13950000</v>
          </cell>
        </row>
      </sheetData>
      <sheetData sheetId="126">
        <row r="59">
          <cell r="F59">
            <v>13950000</v>
          </cell>
        </row>
      </sheetData>
      <sheetData sheetId="127">
        <row r="59">
          <cell r="F59">
            <v>13950000</v>
          </cell>
        </row>
      </sheetData>
      <sheetData sheetId="128">
        <row r="59">
          <cell r="F59">
            <v>13950000</v>
          </cell>
        </row>
      </sheetData>
      <sheetData sheetId="129">
        <row r="59">
          <cell r="F59">
            <v>13950000</v>
          </cell>
        </row>
      </sheetData>
      <sheetData sheetId="130">
        <row r="59">
          <cell r="F59">
            <v>13950000</v>
          </cell>
        </row>
      </sheetData>
      <sheetData sheetId="131"/>
      <sheetData sheetId="132">
        <row r="59">
          <cell r="F59">
            <v>13950000</v>
          </cell>
        </row>
      </sheetData>
      <sheetData sheetId="133">
        <row r="59">
          <cell r="F59">
            <v>13950000</v>
          </cell>
        </row>
      </sheetData>
      <sheetData sheetId="134">
        <row r="59">
          <cell r="F59">
            <v>13950000</v>
          </cell>
        </row>
      </sheetData>
      <sheetData sheetId="135">
        <row r="59">
          <cell r="F59">
            <v>13950000</v>
          </cell>
        </row>
      </sheetData>
      <sheetData sheetId="136">
        <row r="59">
          <cell r="F59">
            <v>13950000</v>
          </cell>
        </row>
      </sheetData>
      <sheetData sheetId="137">
        <row r="59">
          <cell r="F59">
            <v>13950000</v>
          </cell>
        </row>
      </sheetData>
      <sheetData sheetId="138">
        <row r="59">
          <cell r="F59">
            <v>13950000</v>
          </cell>
        </row>
      </sheetData>
      <sheetData sheetId="139">
        <row r="59">
          <cell r="F59">
            <v>13950000</v>
          </cell>
        </row>
      </sheetData>
      <sheetData sheetId="140"/>
      <sheetData sheetId="141">
        <row r="59">
          <cell r="F59">
            <v>13950000</v>
          </cell>
        </row>
      </sheetData>
      <sheetData sheetId="142">
        <row r="59">
          <cell r="F59">
            <v>13950000</v>
          </cell>
        </row>
      </sheetData>
      <sheetData sheetId="143">
        <row r="59">
          <cell r="F59">
            <v>13950000</v>
          </cell>
        </row>
      </sheetData>
      <sheetData sheetId="144">
        <row r="59">
          <cell r="F59">
            <v>13950000</v>
          </cell>
        </row>
      </sheetData>
      <sheetData sheetId="145">
        <row r="59">
          <cell r="F59">
            <v>13950000</v>
          </cell>
        </row>
      </sheetData>
      <sheetData sheetId="146">
        <row r="59">
          <cell r="F59">
            <v>13950000</v>
          </cell>
        </row>
      </sheetData>
      <sheetData sheetId="147">
        <row r="59">
          <cell r="F59">
            <v>13950000</v>
          </cell>
        </row>
      </sheetData>
      <sheetData sheetId="148"/>
      <sheetData sheetId="149">
        <row r="44">
          <cell r="E44">
            <v>3.6377424987676932E-3</v>
          </cell>
        </row>
      </sheetData>
      <sheetData sheetId="150">
        <row r="4">
          <cell r="C4">
            <v>43556</v>
          </cell>
        </row>
      </sheetData>
      <sheetData sheetId="151">
        <row r="59">
          <cell r="F59">
            <v>13950000</v>
          </cell>
        </row>
      </sheetData>
      <sheetData sheetId="152">
        <row r="59">
          <cell r="F59">
            <v>13950000</v>
          </cell>
        </row>
      </sheetData>
      <sheetData sheetId="153">
        <row r="59">
          <cell r="F59">
            <v>13950000</v>
          </cell>
        </row>
      </sheetData>
      <sheetData sheetId="154">
        <row r="59">
          <cell r="F59">
            <v>13950000</v>
          </cell>
        </row>
      </sheetData>
      <sheetData sheetId="155">
        <row r="59">
          <cell r="F59">
            <v>13950000</v>
          </cell>
        </row>
      </sheetData>
      <sheetData sheetId="156">
        <row r="6">
          <cell r="C6">
            <v>5.7500000000000002E-2</v>
          </cell>
        </row>
      </sheetData>
      <sheetData sheetId="157">
        <row r="59">
          <cell r="F59">
            <v>13950000</v>
          </cell>
        </row>
      </sheetData>
      <sheetData sheetId="158"/>
      <sheetData sheetId="159">
        <row r="62">
          <cell r="C62">
            <v>10380.17</v>
          </cell>
        </row>
      </sheetData>
      <sheetData sheetId="160">
        <row r="68">
          <cell r="C68">
            <v>0</v>
          </cell>
        </row>
      </sheetData>
      <sheetData sheetId="161">
        <row r="62">
          <cell r="C62">
            <v>17422.919999999998</v>
          </cell>
        </row>
      </sheetData>
      <sheetData sheetId="162"/>
      <sheetData sheetId="163"/>
      <sheetData sheetId="164"/>
      <sheetData sheetId="165"/>
      <sheetData sheetId="166"/>
      <sheetData sheetId="167"/>
      <sheetData sheetId="168"/>
      <sheetData sheetId="169">
        <row r="58">
          <cell r="G58">
            <v>13950000</v>
          </cell>
        </row>
      </sheetData>
      <sheetData sheetId="170">
        <row r="58">
          <cell r="G58">
            <v>13950000</v>
          </cell>
        </row>
      </sheetData>
      <sheetData sheetId="171">
        <row r="58">
          <cell r="G58">
            <v>13950000</v>
          </cell>
        </row>
      </sheetData>
      <sheetData sheetId="172">
        <row r="58">
          <cell r="G58">
            <v>13950000</v>
          </cell>
        </row>
      </sheetData>
      <sheetData sheetId="173">
        <row r="58">
          <cell r="G58">
            <v>13950000</v>
          </cell>
        </row>
      </sheetData>
      <sheetData sheetId="174">
        <row r="58">
          <cell r="G58">
            <v>13950000</v>
          </cell>
        </row>
      </sheetData>
      <sheetData sheetId="175">
        <row r="58">
          <cell r="G58">
            <v>13950000</v>
          </cell>
        </row>
      </sheetData>
      <sheetData sheetId="176">
        <row r="58">
          <cell r="G58">
            <v>13950000</v>
          </cell>
        </row>
      </sheetData>
      <sheetData sheetId="177">
        <row r="58">
          <cell r="G58">
            <v>13950000</v>
          </cell>
        </row>
      </sheetData>
      <sheetData sheetId="178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1796</v>
          </cell>
        </row>
        <row r="24">
          <cell r="C24">
            <v>29867866.870000001</v>
          </cell>
        </row>
      </sheetData>
      <sheetData sheetId="1">
        <row r="19">
          <cell r="C19">
            <v>0</v>
          </cell>
        </row>
        <row r="49">
          <cell r="C49">
            <v>5</v>
          </cell>
        </row>
        <row r="51">
          <cell r="C51">
            <v>39801.729999999996</v>
          </cell>
        </row>
      </sheetData>
      <sheetData sheetId="2">
        <row r="33">
          <cell r="C33">
            <v>177620.4152056688</v>
          </cell>
        </row>
        <row r="46">
          <cell r="C46">
            <v>0</v>
          </cell>
        </row>
      </sheetData>
      <sheetData sheetId="3">
        <row r="4">
          <cell r="C4">
            <v>28259297.960000001</v>
          </cell>
          <cell r="E4">
            <v>846623.61</v>
          </cell>
          <cell r="F4">
            <v>343769.49</v>
          </cell>
          <cell r="G4">
            <v>210511.9</v>
          </cell>
          <cell r="H4">
            <v>38125.589999999997</v>
          </cell>
          <cell r="J4">
            <v>58842.62</v>
          </cell>
        </row>
      </sheetData>
      <sheetData sheetId="4">
        <row r="8">
          <cell r="V8">
            <v>14440679.950000005</v>
          </cell>
        </row>
      </sheetData>
      <sheetData sheetId="5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1792</v>
          </cell>
        </row>
        <row r="24">
          <cell r="C24">
            <v>29638522.149999999</v>
          </cell>
        </row>
      </sheetData>
      <sheetData sheetId="1">
        <row r="19">
          <cell r="C19">
            <v>20140.16</v>
          </cell>
        </row>
        <row r="51">
          <cell r="C51">
            <v>81099.72</v>
          </cell>
        </row>
      </sheetData>
      <sheetData sheetId="2">
        <row r="33">
          <cell r="C33">
            <v>175276.76136811468</v>
          </cell>
        </row>
        <row r="46">
          <cell r="C46">
            <v>1786.4055000000001</v>
          </cell>
        </row>
      </sheetData>
      <sheetData sheetId="3">
        <row r="4">
          <cell r="C4">
            <v>28165755.219999999</v>
          </cell>
          <cell r="E4">
            <v>843121.42</v>
          </cell>
        </row>
      </sheetData>
      <sheetData sheetId="4">
        <row r="8">
          <cell r="V8">
            <v>14167011.910000006</v>
          </cell>
        </row>
      </sheetData>
      <sheetData sheetId="5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1792</v>
          </cell>
        </row>
      </sheetData>
      <sheetData sheetId="1">
        <row r="49">
          <cell r="C49">
            <v>4</v>
          </cell>
        </row>
      </sheetData>
      <sheetData sheetId="2">
        <row r="27">
          <cell r="C27">
            <v>216000</v>
          </cell>
        </row>
      </sheetData>
      <sheetData sheetId="3">
        <row r="4">
          <cell r="C4">
            <v>28165755.219999999</v>
          </cell>
          <cell r="F4">
            <v>355126.27</v>
          </cell>
          <cell r="G4">
            <v>32718.27</v>
          </cell>
          <cell r="H4">
            <v>87034.87</v>
          </cell>
          <cell r="J4">
            <v>0</v>
          </cell>
        </row>
      </sheetData>
      <sheetData sheetId="4">
        <row r="8">
          <cell r="V8">
            <v>14167011.910000006</v>
          </cell>
        </row>
      </sheetData>
      <sheetData sheetId="5">
        <row r="88">
          <cell r="L88"/>
        </row>
      </sheetData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1789</v>
          </cell>
        </row>
        <row r="24">
          <cell r="C24">
            <v>29463230.52</v>
          </cell>
        </row>
      </sheetData>
      <sheetData sheetId="1">
        <row r="51">
          <cell r="C51">
            <v>51261.33</v>
          </cell>
        </row>
      </sheetData>
      <sheetData sheetId="2">
        <row r="33">
          <cell r="C33">
            <v>195672.99762443133</v>
          </cell>
        </row>
        <row r="46">
          <cell r="C46">
            <v>0</v>
          </cell>
        </row>
      </sheetData>
      <sheetData sheetId="3">
        <row r="4">
          <cell r="C4">
            <v>27942978.029999997</v>
          </cell>
          <cell r="E4">
            <v>938758.37</v>
          </cell>
        </row>
      </sheetData>
      <sheetData sheetId="4">
        <row r="8">
          <cell r="V8">
            <v>13967217.860000005</v>
          </cell>
        </row>
      </sheetData>
      <sheetData sheetId="5">
        <row r="88">
          <cell r="L88"/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2073</v>
          </cell>
        </row>
        <row r="22">
          <cell r="C22">
            <v>45899005.259999998</v>
          </cell>
        </row>
      </sheetData>
      <sheetData sheetId="1">
        <row r="49">
          <cell r="C49">
            <v>155856.18</v>
          </cell>
        </row>
      </sheetData>
      <sheetData sheetId="2">
        <row r="46">
          <cell r="C46">
            <v>0</v>
          </cell>
        </row>
      </sheetData>
      <sheetData sheetId="3">
        <row r="4">
          <cell r="C4">
            <v>44059027.810000002</v>
          </cell>
          <cell r="E4">
            <v>1088987.98</v>
          </cell>
          <cell r="F4">
            <v>363728.1</v>
          </cell>
          <cell r="G4">
            <v>130770.91</v>
          </cell>
          <cell r="H4">
            <v>49114.67</v>
          </cell>
          <cell r="J4">
            <v>17318.150000000001</v>
          </cell>
        </row>
      </sheetData>
      <sheetData sheetId="4">
        <row r="8">
          <cell r="V8">
            <v>38238527.959000014</v>
          </cell>
        </row>
        <row r="9">
          <cell r="V9">
            <v>6000000</v>
          </cell>
        </row>
        <row r="10">
          <cell r="V10">
            <v>750000</v>
          </cell>
        </row>
        <row r="87">
          <cell r="L87"/>
        </row>
      </sheetData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1789</v>
          </cell>
        </row>
      </sheetData>
      <sheetData sheetId="1">
        <row r="49">
          <cell r="C49">
            <v>3</v>
          </cell>
        </row>
      </sheetData>
      <sheetData sheetId="2">
        <row r="27">
          <cell r="C27">
            <v>216000</v>
          </cell>
        </row>
      </sheetData>
      <sheetData sheetId="3">
        <row r="4">
          <cell r="C4">
            <v>27942978.029999997</v>
          </cell>
          <cell r="F4">
            <v>336699.29</v>
          </cell>
          <cell r="G4">
            <v>32706.87</v>
          </cell>
          <cell r="H4">
            <v>30847.53</v>
          </cell>
          <cell r="J4">
            <v>72955.759999999995</v>
          </cell>
        </row>
      </sheetData>
      <sheetData sheetId="4">
        <row r="8">
          <cell r="V8">
            <v>13967217.860000005</v>
          </cell>
        </row>
      </sheetData>
      <sheetData sheetId="5">
        <row r="88">
          <cell r="L88"/>
        </row>
      </sheetData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19">
          <cell r="C19">
            <v>0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1786</v>
          </cell>
        </row>
        <row r="24">
          <cell r="C24">
            <v>29306100.390000001</v>
          </cell>
        </row>
      </sheetData>
      <sheetData sheetId="1">
        <row r="51">
          <cell r="C51">
            <v>39999.769999999997</v>
          </cell>
        </row>
      </sheetData>
      <sheetData sheetId="2">
        <row r="33">
          <cell r="C33">
            <v>173025.7115024376</v>
          </cell>
        </row>
        <row r="46">
          <cell r="C46">
            <v>0</v>
          </cell>
        </row>
      </sheetData>
      <sheetData sheetId="3">
        <row r="4">
          <cell r="C4">
            <v>27639394.43</v>
          </cell>
          <cell r="E4">
            <v>1012096.08</v>
          </cell>
          <cell r="F4">
            <v>285526.03999999998</v>
          </cell>
          <cell r="G4">
            <v>159405.12</v>
          </cell>
          <cell r="H4">
            <v>12362.98</v>
          </cell>
          <cell r="J4">
            <v>45720.42</v>
          </cell>
        </row>
      </sheetData>
      <sheetData sheetId="4">
        <row r="8">
          <cell r="V8">
            <v>13734165.590000007</v>
          </cell>
        </row>
      </sheetData>
      <sheetData sheetId="5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1786</v>
          </cell>
        </row>
      </sheetData>
      <sheetData sheetId="1">
        <row r="49">
          <cell r="C49">
            <v>3</v>
          </cell>
        </row>
      </sheetData>
      <sheetData sheetId="2">
        <row r="46">
          <cell r="C46">
            <v>0</v>
          </cell>
        </row>
      </sheetData>
      <sheetData sheetId="3">
        <row r="4">
          <cell r="C4">
            <v>27639394.43</v>
          </cell>
        </row>
      </sheetData>
      <sheetData sheetId="4">
        <row r="8">
          <cell r="V8">
            <v>13780046.710000006</v>
          </cell>
        </row>
      </sheetData>
      <sheetData sheetId="5">
        <row r="88">
          <cell r="L88"/>
        </row>
      </sheetData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19">
          <cell r="C19">
            <v>43310.65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1785</v>
          </cell>
        </row>
        <row r="24">
          <cell r="C24">
            <v>29034328.48</v>
          </cell>
        </row>
      </sheetData>
      <sheetData sheetId="1">
        <row r="51">
          <cell r="C51">
            <v>0</v>
          </cell>
        </row>
      </sheetData>
      <sheetData sheetId="2">
        <row r="33">
          <cell r="C33"/>
        </row>
        <row r="46">
          <cell r="C46">
            <v>190328.28265268137</v>
          </cell>
        </row>
        <row r="59">
          <cell r="C59">
            <v>0</v>
          </cell>
        </row>
      </sheetData>
      <sheetData sheetId="3">
        <row r="4">
          <cell r="C4">
            <v>27955619.550000001</v>
          </cell>
          <cell r="E4">
            <v>664931.77</v>
          </cell>
          <cell r="F4">
            <v>229844.09</v>
          </cell>
          <cell r="G4">
            <v>92145.62</v>
          </cell>
          <cell r="H4">
            <v>45960.55</v>
          </cell>
          <cell r="J4">
            <v>16075.31</v>
          </cell>
        </row>
      </sheetData>
      <sheetData sheetId="4">
        <row r="8">
          <cell r="V8">
            <v>13414803.910000006</v>
          </cell>
        </row>
      </sheetData>
      <sheetData sheetId="5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49">
          <cell r="C49">
            <v>0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19">
          <cell r="C19">
            <v>9504.9500000000007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1785</v>
          </cell>
        </row>
        <row r="24">
          <cell r="C24">
            <v>29034328.48</v>
          </cell>
        </row>
      </sheetData>
      <sheetData sheetId="1">
        <row r="51">
          <cell r="C51">
            <v>0</v>
          </cell>
        </row>
      </sheetData>
      <sheetData sheetId="2">
        <row r="33">
          <cell r="C33"/>
        </row>
        <row r="46">
          <cell r="C46">
            <v>165174.43372021674</v>
          </cell>
        </row>
        <row r="59">
          <cell r="C59">
            <v>0</v>
          </cell>
        </row>
      </sheetData>
      <sheetData sheetId="3">
        <row r="4">
          <cell r="C4">
            <v>27811444.270000003</v>
          </cell>
          <cell r="E4">
            <v>654913.56999999995</v>
          </cell>
          <cell r="F4">
            <v>252729.35</v>
          </cell>
          <cell r="G4">
            <v>92105.16</v>
          </cell>
          <cell r="H4">
            <v>45960.55</v>
          </cell>
          <cell r="J4">
            <v>16075.31</v>
          </cell>
        </row>
      </sheetData>
      <sheetData sheetId="4">
        <row r="8">
          <cell r="V8">
            <v>13414803.910000006</v>
          </cell>
        </row>
      </sheetData>
      <sheetData sheetId="5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1785</v>
          </cell>
        </row>
      </sheetData>
      <sheetData sheetId="1">
        <row r="49">
          <cell r="C49">
            <v>0</v>
          </cell>
        </row>
      </sheetData>
      <sheetData sheetId="2">
        <row r="40">
          <cell r="C40">
            <v>216000</v>
          </cell>
        </row>
      </sheetData>
      <sheetData sheetId="3">
        <row r="17">
          <cell r="O17">
            <v>1911360.1999999997</v>
          </cell>
        </row>
      </sheetData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 refreshError="1">
        <row r="18">
          <cell r="C18">
            <v>2065</v>
          </cell>
        </row>
        <row r="22">
          <cell r="C22">
            <v>45593192.799999997</v>
          </cell>
        </row>
      </sheetData>
      <sheetData sheetId="1" refreshError="1">
        <row r="49">
          <cell r="C49">
            <v>59936.87</v>
          </cell>
        </row>
      </sheetData>
      <sheetData sheetId="2" refreshError="1">
        <row r="46">
          <cell r="C46">
            <v>1526921.7480000001</v>
          </cell>
        </row>
      </sheetData>
      <sheetData sheetId="3" refreshError="1">
        <row r="4">
          <cell r="C4">
            <v>43725581.709999993</v>
          </cell>
          <cell r="E4">
            <v>898231.1</v>
          </cell>
          <cell r="F4">
            <v>506786.14</v>
          </cell>
          <cell r="G4">
            <v>191115.74</v>
          </cell>
          <cell r="H4">
            <v>50837.51</v>
          </cell>
          <cell r="J4">
            <v>30582.959999999999</v>
          </cell>
        </row>
      </sheetData>
      <sheetData sheetId="4" refreshError="1">
        <row r="8">
          <cell r="V8">
            <v>36795147.129000016</v>
          </cell>
        </row>
        <row r="9">
          <cell r="V9">
            <v>6000000</v>
          </cell>
        </row>
        <row r="10">
          <cell r="V10">
            <v>750000</v>
          </cell>
        </row>
        <row r="87">
          <cell r="L87"/>
        </row>
      </sheetData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19">
          <cell r="C19">
            <v>0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>
        <row r="20">
          <cell r="C20">
            <v>1783</v>
          </cell>
        </row>
        <row r="24">
          <cell r="C24">
            <v>28885778.079999998</v>
          </cell>
        </row>
      </sheetData>
      <sheetData sheetId="1" refreshError="1">
        <row r="51">
          <cell r="C51">
            <v>800.72</v>
          </cell>
        </row>
      </sheetData>
      <sheetData sheetId="2" refreshError="1">
        <row r="33">
          <cell r="C33"/>
        </row>
        <row r="46">
          <cell r="C46">
            <v>162824.97720843967</v>
          </cell>
        </row>
      </sheetData>
      <sheetData sheetId="3" refreshError="1">
        <row r="4">
          <cell r="C4">
            <v>27696611.969999999</v>
          </cell>
          <cell r="E4">
            <v>635982.32999999996</v>
          </cell>
          <cell r="F4">
            <v>252594.4</v>
          </cell>
          <cell r="G4">
            <v>77453.25</v>
          </cell>
          <cell r="H4">
            <v>45960.55</v>
          </cell>
          <cell r="J4">
            <v>16075.31</v>
          </cell>
        </row>
      </sheetData>
      <sheetData sheetId="4" refreshError="1">
        <row r="8">
          <cell r="V8">
            <v>13231239.270000005</v>
          </cell>
        </row>
      </sheetData>
      <sheetData sheetId="5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/>
      <sheetData sheetId="1" refreshError="1">
        <row r="49">
          <cell r="C49">
            <v>2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19">
          <cell r="C19">
            <v>0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>
        <row r="20">
          <cell r="C20">
            <v>1781</v>
          </cell>
        </row>
        <row r="24">
          <cell r="C24">
            <v>28727404.789999999</v>
          </cell>
        </row>
      </sheetData>
      <sheetData sheetId="1" refreshError="1">
        <row r="51">
          <cell r="C51">
            <v>32727.84</v>
          </cell>
        </row>
      </sheetData>
      <sheetData sheetId="2" refreshError="1">
        <row r="46">
          <cell r="C46">
            <v>166134.74808393759</v>
          </cell>
        </row>
      </sheetData>
      <sheetData sheetId="3" refreshError="1">
        <row r="4">
          <cell r="C4">
            <v>27405343.969999999</v>
          </cell>
          <cell r="E4">
            <v>692625.61</v>
          </cell>
          <cell r="F4">
            <v>311509.02</v>
          </cell>
          <cell r="G4">
            <v>94805.53</v>
          </cell>
          <cell r="H4">
            <v>45945.08</v>
          </cell>
          <cell r="J4">
            <v>16075.31</v>
          </cell>
        </row>
      </sheetData>
      <sheetData sheetId="4" refreshError="1">
        <row r="8">
          <cell r="V8">
            <v>13035064.680000005</v>
          </cell>
        </row>
      </sheetData>
      <sheetData sheetId="5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/>
      <sheetData sheetId="1" refreshError="1">
        <row r="49">
          <cell r="C49">
            <v>1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19">
          <cell r="C19">
            <v>0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>
        <row r="20">
          <cell r="C20">
            <v>1779</v>
          </cell>
        </row>
        <row r="24">
          <cell r="C24">
            <v>28627913.030000001</v>
          </cell>
        </row>
      </sheetData>
      <sheetData sheetId="1" refreshError="1">
        <row r="51">
          <cell r="C51">
            <v>5136.63</v>
          </cell>
        </row>
      </sheetData>
      <sheetData sheetId="2" refreshError="1">
        <row r="46">
          <cell r="C46">
            <v>180038.6839770751</v>
          </cell>
        </row>
      </sheetData>
      <sheetData sheetId="3" refreshError="1">
        <row r="4">
          <cell r="C4">
            <v>27385455.649999999</v>
          </cell>
          <cell r="E4">
            <v>655251.27</v>
          </cell>
          <cell r="F4">
            <v>252693.3</v>
          </cell>
          <cell r="G4">
            <v>124849.56</v>
          </cell>
          <cell r="H4">
            <v>12362.98</v>
          </cell>
          <cell r="J4">
            <v>55760.160000000003</v>
          </cell>
        </row>
      </sheetData>
      <sheetData sheetId="4" refreshError="1">
        <row r="8">
          <cell r="V8">
            <v>12922124.430000005</v>
          </cell>
        </row>
      </sheetData>
      <sheetData sheetId="5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  <sheetName val="8th Trust (2007-1)"/>
      <sheetName val="10th Trust (2010-1)"/>
    </sheetNames>
    <sheetDataSet>
      <sheetData sheetId="0"/>
      <sheetData sheetId="1">
        <row r="49">
          <cell r="C49">
            <v>1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/>
      <sheetData sheetId="1" refreshError="1">
        <row r="19">
          <cell r="C19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185"/>
  <sheetViews>
    <sheetView showGridLines="0" workbookViewId="0">
      <pane xSplit="2" ySplit="3" topLeftCell="C181" activePane="bottomRight" state="frozen"/>
      <selection pane="topRight" activeCell="C1" sqref="C1"/>
      <selection pane="bottomLeft" activeCell="A2" sqref="A2"/>
      <selection pane="bottomRight" activeCell="P197" sqref="P197"/>
    </sheetView>
  </sheetViews>
  <sheetFormatPr baseColWidth="10" defaultColWidth="9.140625" defaultRowHeight="15" x14ac:dyDescent="0.25"/>
  <cols>
    <col min="4" max="4" width="9" bestFit="1" customWidth="1"/>
    <col min="5" max="5" width="14.42578125" bestFit="1" customWidth="1"/>
    <col min="6" max="6" width="0.140625" customWidth="1"/>
    <col min="7" max="7" width="9.7109375" customWidth="1"/>
    <col min="8" max="8" width="14.42578125" customWidth="1"/>
    <col min="9" max="9" width="12.5703125" customWidth="1"/>
    <col min="10" max="15" width="12.5703125" hidden="1" customWidth="1"/>
    <col min="16" max="16" width="12.5703125" style="36" customWidth="1"/>
    <col min="17" max="17" width="9.85546875" customWidth="1"/>
    <col min="18" max="18" width="10.85546875" customWidth="1"/>
    <col min="19" max="19" width="10.85546875" bestFit="1" customWidth="1"/>
    <col min="20" max="20" width="11.85546875" customWidth="1"/>
    <col min="21" max="21" width="10.85546875" bestFit="1" customWidth="1"/>
    <col min="22" max="22" width="13.28515625" bestFit="1" customWidth="1"/>
    <col min="23" max="23" width="15.28515625" bestFit="1" customWidth="1"/>
    <col min="24" max="31" width="14.42578125" customWidth="1"/>
    <col min="32" max="32" width="18" bestFit="1" customWidth="1"/>
    <col min="33" max="33" width="8.140625" bestFit="1" customWidth="1"/>
    <col min="34" max="34" width="16.28515625" bestFit="1" customWidth="1"/>
    <col min="35" max="35" width="14.28515625" bestFit="1" customWidth="1"/>
    <col min="37" max="37" width="10" bestFit="1" customWidth="1"/>
    <col min="38" max="38" width="13.28515625" bestFit="1" customWidth="1"/>
    <col min="39" max="39" width="14" bestFit="1" customWidth="1"/>
    <col min="40" max="40" width="5" customWidth="1"/>
  </cols>
  <sheetData>
    <row r="1" spans="1:46" x14ac:dyDescent="0.25">
      <c r="I1" s="35" t="s">
        <v>50</v>
      </c>
      <c r="J1" s="35" t="s">
        <v>52</v>
      </c>
      <c r="K1" s="35" t="s">
        <v>52</v>
      </c>
      <c r="L1" s="35" t="s">
        <v>46</v>
      </c>
      <c r="M1" s="35" t="s">
        <v>46</v>
      </c>
      <c r="O1" s="35" t="s">
        <v>20</v>
      </c>
    </row>
    <row r="2" spans="1:46" x14ac:dyDescent="0.25">
      <c r="B2" s="24" t="s">
        <v>32</v>
      </c>
      <c r="C2" s="24" t="s">
        <v>24</v>
      </c>
      <c r="H2" s="24" t="s">
        <v>34</v>
      </c>
      <c r="I2" s="24" t="s">
        <v>51</v>
      </c>
      <c r="J2" s="24" t="s">
        <v>53</v>
      </c>
      <c r="K2" s="24" t="s">
        <v>55</v>
      </c>
      <c r="L2" s="24" t="s">
        <v>57</v>
      </c>
      <c r="M2" s="24" t="s">
        <v>35</v>
      </c>
      <c r="N2" s="24" t="s">
        <v>38</v>
      </c>
      <c r="O2" s="35" t="s">
        <v>59</v>
      </c>
      <c r="P2" s="24" t="s">
        <v>62</v>
      </c>
      <c r="S2" s="24" t="s">
        <v>43</v>
      </c>
      <c r="T2" s="24" t="s">
        <v>47</v>
      </c>
      <c r="U2" s="24" t="s">
        <v>48</v>
      </c>
      <c r="V2" s="24" t="s">
        <v>25</v>
      </c>
      <c r="AD2" s="24" t="s">
        <v>40</v>
      </c>
      <c r="AE2" s="24" t="s">
        <v>40</v>
      </c>
      <c r="AH2" s="33">
        <v>0.96055226824457596</v>
      </c>
    </row>
    <row r="3" spans="1:46" s="29" customFormat="1" ht="12.75" x14ac:dyDescent="0.2">
      <c r="A3" s="28" t="s">
        <v>17</v>
      </c>
      <c r="B3" s="28" t="s">
        <v>33</v>
      </c>
      <c r="C3" s="28" t="s">
        <v>23</v>
      </c>
      <c r="D3" s="28" t="s">
        <v>0</v>
      </c>
      <c r="E3" s="28" t="s">
        <v>18</v>
      </c>
      <c r="F3" s="28"/>
      <c r="G3" s="28" t="s">
        <v>6</v>
      </c>
      <c r="H3" s="28" t="s">
        <v>35</v>
      </c>
      <c r="I3" s="28" t="s">
        <v>36</v>
      </c>
      <c r="J3" s="28" t="s">
        <v>54</v>
      </c>
      <c r="K3" s="28" t="s">
        <v>56</v>
      </c>
      <c r="L3" s="28" t="s">
        <v>58</v>
      </c>
      <c r="M3" s="28" t="s">
        <v>37</v>
      </c>
      <c r="N3" s="28" t="s">
        <v>39</v>
      </c>
      <c r="O3" s="30" t="s">
        <v>35</v>
      </c>
      <c r="P3" s="28" t="s">
        <v>37</v>
      </c>
      <c r="Q3" s="28" t="s">
        <v>60</v>
      </c>
      <c r="R3" s="28" t="s">
        <v>61</v>
      </c>
      <c r="S3" s="28" t="s">
        <v>44</v>
      </c>
      <c r="T3" s="28" t="s">
        <v>44</v>
      </c>
      <c r="U3" s="28" t="s">
        <v>44</v>
      </c>
      <c r="V3" s="24" t="s">
        <v>21</v>
      </c>
      <c r="W3" s="28" t="s">
        <v>9</v>
      </c>
      <c r="X3" s="28" t="s">
        <v>10</v>
      </c>
      <c r="Y3" s="28" t="s">
        <v>11</v>
      </c>
      <c r="Z3" s="28" t="s">
        <v>12</v>
      </c>
      <c r="AA3" s="28" t="s">
        <v>13</v>
      </c>
      <c r="AB3" s="28" t="s">
        <v>14</v>
      </c>
      <c r="AC3" s="28" t="s">
        <v>15</v>
      </c>
      <c r="AD3" s="28" t="s">
        <v>41</v>
      </c>
      <c r="AE3" s="28" t="s">
        <v>42</v>
      </c>
      <c r="AF3" s="28" t="s">
        <v>1</v>
      </c>
      <c r="AG3" s="28" t="s">
        <v>3</v>
      </c>
      <c r="AH3" s="30" t="s">
        <v>30</v>
      </c>
      <c r="AI3" s="28" t="s">
        <v>2</v>
      </c>
      <c r="AJ3" s="28" t="s">
        <v>4</v>
      </c>
      <c r="AK3" s="28" t="s">
        <v>5</v>
      </c>
      <c r="AL3" s="28" t="s">
        <v>7</v>
      </c>
      <c r="AM3" s="28" t="s">
        <v>8</v>
      </c>
      <c r="AO3" s="28" t="s">
        <v>9</v>
      </c>
      <c r="AP3" s="28" t="s">
        <v>10</v>
      </c>
      <c r="AQ3" s="28" t="s">
        <v>11</v>
      </c>
      <c r="AR3" s="28" t="s">
        <v>12</v>
      </c>
      <c r="AS3" s="28" t="s">
        <v>13</v>
      </c>
      <c r="AT3" s="28" t="s">
        <v>14</v>
      </c>
    </row>
    <row r="4" spans="1:46" x14ac:dyDescent="0.25">
      <c r="A4">
        <v>0</v>
      </c>
      <c r="B4" s="3">
        <v>39142</v>
      </c>
      <c r="C4" s="4">
        <v>7.0000000000000007E-2</v>
      </c>
      <c r="D4">
        <v>3454</v>
      </c>
      <c r="E4" s="2">
        <v>90000000</v>
      </c>
      <c r="F4" s="2"/>
      <c r="G4" s="5">
        <v>1</v>
      </c>
      <c r="H4" s="5"/>
      <c r="I4" s="5"/>
      <c r="J4" s="5"/>
      <c r="K4" s="5"/>
      <c r="L4" s="5"/>
      <c r="M4" s="5"/>
      <c r="N4" s="5"/>
      <c r="O4" s="5"/>
      <c r="P4" s="37"/>
      <c r="Q4" s="5"/>
      <c r="R4" s="6"/>
      <c r="S4" s="6"/>
      <c r="T4" s="6"/>
      <c r="U4" s="6"/>
      <c r="V4" s="2"/>
      <c r="W4" s="2"/>
      <c r="X4" s="2"/>
      <c r="Y4" s="2"/>
      <c r="Z4" s="2"/>
      <c r="AA4" s="2"/>
      <c r="AB4" s="2"/>
      <c r="AC4" s="2"/>
      <c r="AD4" s="2"/>
      <c r="AE4" s="2"/>
      <c r="AF4" s="2">
        <v>76050000</v>
      </c>
      <c r="AG4" s="5">
        <f>+AF4/AF$4</f>
        <v>1</v>
      </c>
      <c r="AH4" s="2">
        <f>+$AH$2*AF4</f>
        <v>73050000</v>
      </c>
      <c r="AI4" s="2">
        <v>13950000</v>
      </c>
      <c r="AJ4" s="5">
        <f>+AI4/AI$4</f>
        <v>1</v>
      </c>
      <c r="AK4" s="4">
        <f t="shared" ref="AK4:AK35" si="0">+AF4/E4</f>
        <v>0.84499999999999997</v>
      </c>
      <c r="AL4" s="2">
        <v>1250000</v>
      </c>
      <c r="AM4" s="4">
        <f t="shared" ref="AM4:AM35" si="1">1-(+AF4-AL4)/E4</f>
        <v>0.16888888888888887</v>
      </c>
      <c r="AO4" s="7"/>
    </row>
    <row r="5" spans="1:46" x14ac:dyDescent="0.25">
      <c r="A5">
        <f>+A4+1</f>
        <v>1</v>
      </c>
      <c r="B5" s="3">
        <v>39203</v>
      </c>
      <c r="C5" s="4">
        <v>7.0000000000000007E-2</v>
      </c>
      <c r="D5">
        <v>3442</v>
      </c>
      <c r="E5" s="2">
        <v>89410524</v>
      </c>
      <c r="F5" s="2">
        <f>+E4/D4</f>
        <v>26056.745801968733</v>
      </c>
      <c r="G5" s="5">
        <f t="shared" ref="G5:G36" si="2">+E5/$E$4</f>
        <v>0.99345026666666669</v>
      </c>
      <c r="H5" s="2">
        <f t="shared" ref="H5:H36" si="3">+E4/D4*P5</f>
        <v>312680.94962362479</v>
      </c>
      <c r="I5" s="2"/>
      <c r="J5" s="2"/>
      <c r="K5" s="2"/>
      <c r="L5" s="2"/>
      <c r="M5" s="2"/>
      <c r="N5" s="2"/>
      <c r="O5" s="2"/>
      <c r="P5" s="36">
        <f t="shared" ref="P5:P36" si="4">+D4-D5</f>
        <v>12</v>
      </c>
      <c r="Q5" s="6">
        <f t="shared" ref="Q5:Q36" si="5">IF(I5&gt;0,I5,+H5)/E4</f>
        <v>3.4742327735958309E-3</v>
      </c>
      <c r="R5" s="6">
        <f t="shared" ref="R5" si="6">1-(+Q5-1)^12</f>
        <v>4.090330790472041E-2</v>
      </c>
      <c r="S5" s="6"/>
      <c r="T5" s="6"/>
      <c r="U5" s="6"/>
      <c r="V5" s="2"/>
      <c r="W5" s="2">
        <v>87704921</v>
      </c>
      <c r="X5" s="2">
        <v>1465973</v>
      </c>
      <c r="Y5" s="2">
        <v>239629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75912325.560000002</v>
      </c>
      <c r="AG5" s="5">
        <f>+AF5/AF$4</f>
        <v>0.99818968520710061</v>
      </c>
      <c r="AH5" s="2">
        <f t="shared" ref="AH5:AH68" si="7">+$AH$2*AF5</f>
        <v>72917756.504378706</v>
      </c>
      <c r="AI5" s="2">
        <f>+AI4</f>
        <v>13950000</v>
      </c>
      <c r="AJ5" s="5">
        <f>+AI5/AI$4</f>
        <v>1</v>
      </c>
      <c r="AK5" s="4">
        <f t="shared" si="0"/>
        <v>0.84903121203047649</v>
      </c>
      <c r="AL5" s="2">
        <v>1250000</v>
      </c>
      <c r="AM5" s="4">
        <f t="shared" si="1"/>
        <v>0.1649492451246567</v>
      </c>
      <c r="AO5" s="8">
        <f t="shared" ref="AO5:AO36" si="8">+W5/$E5</f>
        <v>0.98092391226786679</v>
      </c>
      <c r="AP5" s="8">
        <f t="shared" ref="AP5:AP36" si="9">+X5/$E5</f>
        <v>1.6395978173665553E-2</v>
      </c>
      <c r="AQ5" s="8">
        <f t="shared" ref="AQ5:AQ36" si="10">+Y5/$E5</f>
        <v>2.6800983741019123E-3</v>
      </c>
      <c r="AR5" s="8">
        <f t="shared" ref="AR5:AR36" si="11">+Z5/$E5</f>
        <v>0</v>
      </c>
      <c r="AS5" s="8">
        <f t="shared" ref="AS5:AS36" si="12">+AA5/$E5</f>
        <v>0</v>
      </c>
      <c r="AT5" s="8">
        <f t="shared" ref="AT5:AT36" si="13">+AB5/$E5</f>
        <v>0</v>
      </c>
    </row>
    <row r="6" spans="1:46" x14ac:dyDescent="0.25">
      <c r="A6">
        <f t="shared" ref="A6:A69" si="14">+A5+1</f>
        <v>2</v>
      </c>
      <c r="B6" s="3">
        <v>39234</v>
      </c>
      <c r="C6" s="4">
        <v>7.0000000000000007E-2</v>
      </c>
      <c r="D6">
        <v>3438</v>
      </c>
      <c r="E6" s="2">
        <v>89118419.689999998</v>
      </c>
      <c r="F6" s="2"/>
      <c r="G6" s="5">
        <f t="shared" si="2"/>
        <v>0.99020466322222223</v>
      </c>
      <c r="H6" s="2">
        <f t="shared" si="3"/>
        <v>103905.3155142359</v>
      </c>
      <c r="I6" s="2"/>
      <c r="J6" s="2"/>
      <c r="K6" s="2"/>
      <c r="L6" s="2"/>
      <c r="M6" s="2"/>
      <c r="N6" s="2"/>
      <c r="O6" s="2"/>
      <c r="P6" s="36">
        <f t="shared" si="4"/>
        <v>4</v>
      </c>
      <c r="Q6" s="6">
        <f t="shared" si="5"/>
        <v>1.1621150493898896E-3</v>
      </c>
      <c r="R6" s="6">
        <f t="shared" ref="R6:R55" si="15">1-(+Q6-1)^12</f>
        <v>1.3856591218838643E-2</v>
      </c>
      <c r="S6" s="6"/>
      <c r="T6" s="6"/>
      <c r="U6" s="6"/>
      <c r="V6" s="2"/>
      <c r="W6" s="2">
        <v>87489741</v>
      </c>
      <c r="X6" s="2">
        <v>1240049</v>
      </c>
      <c r="Y6" s="2">
        <v>305230</v>
      </c>
      <c r="Z6" s="2">
        <v>83401</v>
      </c>
      <c r="AA6" s="2"/>
      <c r="AB6" s="2">
        <v>0</v>
      </c>
      <c r="AC6" s="2">
        <v>0</v>
      </c>
      <c r="AD6" s="2">
        <v>0</v>
      </c>
      <c r="AE6" s="2">
        <v>0</v>
      </c>
      <c r="AF6" s="2">
        <v>75823905.040000007</v>
      </c>
      <c r="AG6" s="5">
        <f t="shared" ref="AG6:AG66" si="16">+AF6/AF$4</f>
        <v>0.99702702222222228</v>
      </c>
      <c r="AH6" s="2">
        <f t="shared" si="7"/>
        <v>72832823.973333344</v>
      </c>
      <c r="AI6" s="2">
        <f>+AI5</f>
        <v>13950000</v>
      </c>
      <c r="AJ6" s="5">
        <f>+AI6/AI$4</f>
        <v>1</v>
      </c>
      <c r="AK6" s="4">
        <f t="shared" si="0"/>
        <v>0.85082192103220411</v>
      </c>
      <c r="AL6" s="2">
        <v>1250000</v>
      </c>
      <c r="AM6" s="4">
        <f t="shared" si="1"/>
        <v>0.16320436000316596</v>
      </c>
      <c r="AO6" s="8">
        <f t="shared" si="8"/>
        <v>0.98172455598219333</v>
      </c>
      <c r="AP6" s="8">
        <f t="shared" si="9"/>
        <v>1.3914620617303723E-2</v>
      </c>
      <c r="AQ6" s="8">
        <f t="shared" si="10"/>
        <v>3.4249934083408116E-3</v>
      </c>
      <c r="AR6" s="8">
        <f t="shared" si="11"/>
        <v>9.3584469170472119E-4</v>
      </c>
      <c r="AS6" s="8">
        <f t="shared" si="12"/>
        <v>0</v>
      </c>
      <c r="AT6" s="8">
        <f t="shared" si="13"/>
        <v>0</v>
      </c>
    </row>
    <row r="7" spans="1:46" x14ac:dyDescent="0.25">
      <c r="A7">
        <f t="shared" si="14"/>
        <v>3</v>
      </c>
      <c r="B7" s="3">
        <v>39264</v>
      </c>
      <c r="C7" s="4">
        <v>7.0000000000000007E-2</v>
      </c>
      <c r="D7">
        <v>3432</v>
      </c>
      <c r="E7" s="2">
        <v>88861376.480000004</v>
      </c>
      <c r="F7" s="2"/>
      <c r="G7" s="5">
        <f t="shared" si="2"/>
        <v>0.98734862755555564</v>
      </c>
      <c r="H7" s="2">
        <f t="shared" si="3"/>
        <v>155529.52825479928</v>
      </c>
      <c r="I7" s="2"/>
      <c r="J7" s="2"/>
      <c r="K7" s="2"/>
      <c r="L7" s="2"/>
      <c r="M7" s="2"/>
      <c r="N7" s="2"/>
      <c r="O7" s="2"/>
      <c r="P7" s="36">
        <f t="shared" si="4"/>
        <v>6</v>
      </c>
      <c r="Q7" s="6">
        <f t="shared" si="5"/>
        <v>1.745200698080279E-3</v>
      </c>
      <c r="R7" s="6">
        <f t="shared" si="15"/>
        <v>2.0742555304955168E-2</v>
      </c>
      <c r="S7" s="6">
        <f>AVERAGE(R5:R7)</f>
        <v>2.5167484809504741E-2</v>
      </c>
      <c r="T7" s="6"/>
      <c r="U7" s="6"/>
      <c r="V7" s="2"/>
      <c r="W7" s="2">
        <v>86955457</v>
      </c>
      <c r="X7" s="2">
        <v>1489088</v>
      </c>
      <c r="Y7" s="2">
        <v>324644</v>
      </c>
      <c r="Z7" s="2">
        <v>53658</v>
      </c>
      <c r="AA7" s="2">
        <v>38529</v>
      </c>
      <c r="AB7" s="2">
        <v>0</v>
      </c>
      <c r="AC7" s="2">
        <v>0</v>
      </c>
      <c r="AD7" s="2">
        <v>0</v>
      </c>
      <c r="AE7" s="2">
        <v>0</v>
      </c>
      <c r="AF7" s="2">
        <v>75727086.030000001</v>
      </c>
      <c r="AG7" s="5">
        <f t="shared" si="16"/>
        <v>0.99575392544378705</v>
      </c>
      <c r="AH7" s="2">
        <f t="shared" si="7"/>
        <v>72739824.253668636</v>
      </c>
      <c r="AI7" s="2">
        <f>+AI6</f>
        <v>13950000</v>
      </c>
      <c r="AJ7" s="5">
        <f t="shared" ref="AJ7:AJ67" si="17">+AI7/AI$4</f>
        <v>1</v>
      </c>
      <c r="AK7" s="4">
        <f t="shared" si="0"/>
        <v>0.85219348416287322</v>
      </c>
      <c r="AL7" s="2">
        <v>1250000</v>
      </c>
      <c r="AM7" s="4">
        <f t="shared" si="1"/>
        <v>0.16187336973378386</v>
      </c>
      <c r="AO7" s="8">
        <f t="shared" si="8"/>
        <v>0.97855176730883786</v>
      </c>
      <c r="AP7" s="8">
        <f t="shared" si="9"/>
        <v>1.6757426668212241E-2</v>
      </c>
      <c r="AQ7" s="8">
        <f t="shared" si="10"/>
        <v>3.6533757731410732E-3</v>
      </c>
      <c r="AR7" s="8">
        <f t="shared" si="11"/>
        <v>6.0383939710946055E-4</v>
      </c>
      <c r="AS7" s="8">
        <f t="shared" si="12"/>
        <v>4.3358545102744055E-4</v>
      </c>
      <c r="AT7" s="8">
        <f t="shared" si="13"/>
        <v>0</v>
      </c>
    </row>
    <row r="8" spans="1:46" x14ac:dyDescent="0.25">
      <c r="A8">
        <f t="shared" si="14"/>
        <v>4</v>
      </c>
      <c r="B8" s="3">
        <v>39295</v>
      </c>
      <c r="C8" s="4">
        <v>7.0000000000000007E-2</v>
      </c>
      <c r="D8">
        <v>3426</v>
      </c>
      <c r="E8" s="2">
        <v>88556874.120000005</v>
      </c>
      <c r="F8" s="2"/>
      <c r="G8" s="5">
        <f t="shared" si="2"/>
        <v>0.98396526800000006</v>
      </c>
      <c r="H8" s="2">
        <f t="shared" si="3"/>
        <v>155352.05678321677</v>
      </c>
      <c r="I8" s="2"/>
      <c r="J8" s="2"/>
      <c r="K8" s="2"/>
      <c r="L8" s="2"/>
      <c r="M8" s="2"/>
      <c r="N8" s="2"/>
      <c r="O8" s="2"/>
      <c r="P8" s="36">
        <f t="shared" si="4"/>
        <v>6</v>
      </c>
      <c r="Q8" s="6">
        <f t="shared" si="5"/>
        <v>1.748251748251748E-3</v>
      </c>
      <c r="R8" s="6">
        <f t="shared" si="15"/>
        <v>2.0778470544701944E-2</v>
      </c>
      <c r="S8" s="6">
        <f t="shared" ref="S8:S71" si="18">AVERAGE(R6:R8)</f>
        <v>1.8459205689498586E-2</v>
      </c>
      <c r="T8" s="6"/>
      <c r="U8" s="6"/>
      <c r="V8" s="2"/>
      <c r="W8" s="2">
        <v>86228870</v>
      </c>
      <c r="X8" s="2">
        <v>1642290</v>
      </c>
      <c r="Y8" s="2">
        <v>602413</v>
      </c>
      <c r="Z8" s="2">
        <v>42933</v>
      </c>
      <c r="AA8" s="2">
        <v>23013</v>
      </c>
      <c r="AB8" s="2">
        <v>17355</v>
      </c>
      <c r="AC8" s="2">
        <v>0</v>
      </c>
      <c r="AD8" s="2">
        <v>0</v>
      </c>
      <c r="AE8" s="2">
        <v>0</v>
      </c>
      <c r="AF8" s="2">
        <v>75573456.230000004</v>
      </c>
      <c r="AG8" s="5">
        <f t="shared" si="16"/>
        <v>0.99373380973044056</v>
      </c>
      <c r="AH8" s="2">
        <f t="shared" si="7"/>
        <v>72592254.800808683</v>
      </c>
      <c r="AI8" s="2">
        <f t="shared" ref="AI8:AI10" si="19">+AI7</f>
        <v>13950000</v>
      </c>
      <c r="AJ8" s="5">
        <f t="shared" si="17"/>
        <v>1</v>
      </c>
      <c r="AK8" s="4">
        <f t="shared" si="0"/>
        <v>0.8533889320392376</v>
      </c>
      <c r="AL8" s="2">
        <v>1250000</v>
      </c>
      <c r="AM8" s="4">
        <f t="shared" si="1"/>
        <v>0.16072629066279875</v>
      </c>
      <c r="AO8" s="8">
        <f t="shared" si="8"/>
        <v>0.97371176271595339</v>
      </c>
      <c r="AP8" s="8">
        <f t="shared" si="9"/>
        <v>1.854503127306183E-2</v>
      </c>
      <c r="AQ8" s="8">
        <f t="shared" si="10"/>
        <v>6.8025549228814619E-3</v>
      </c>
      <c r="AR8" s="8">
        <f t="shared" si="11"/>
        <v>4.8480708501322153E-4</v>
      </c>
      <c r="AS8" s="8">
        <f t="shared" si="12"/>
        <v>2.5986689603357013E-4</v>
      </c>
      <c r="AT8" s="8">
        <f t="shared" si="13"/>
        <v>1.9597575199507277E-4</v>
      </c>
    </row>
    <row r="9" spans="1:46" x14ac:dyDescent="0.25">
      <c r="A9">
        <f t="shared" si="14"/>
        <v>5</v>
      </c>
      <c r="B9" s="3">
        <v>39326</v>
      </c>
      <c r="C9" s="4">
        <v>7.0000000000000007E-2</v>
      </c>
      <c r="D9">
        <v>3420</v>
      </c>
      <c r="E9" s="2">
        <v>88229757.969999999</v>
      </c>
      <c r="F9" s="2"/>
      <c r="G9" s="5">
        <f t="shared" si="2"/>
        <v>0.98033064411111115</v>
      </c>
      <c r="H9" s="2">
        <f t="shared" si="3"/>
        <v>155090.84784588442</v>
      </c>
      <c r="I9" s="2"/>
      <c r="J9" s="2"/>
      <c r="K9" s="2"/>
      <c r="L9" s="2"/>
      <c r="M9" s="2"/>
      <c r="N9" s="2"/>
      <c r="O9" s="2"/>
      <c r="P9" s="36">
        <f t="shared" si="4"/>
        <v>6</v>
      </c>
      <c r="Q9" s="6">
        <f t="shared" si="5"/>
        <v>1.7513134851138354E-3</v>
      </c>
      <c r="R9" s="6">
        <f t="shared" si="15"/>
        <v>2.0814510368322381E-2</v>
      </c>
      <c r="S9" s="6">
        <f t="shared" si="18"/>
        <v>2.0778512072659832E-2</v>
      </c>
      <c r="T9" s="6"/>
      <c r="U9" s="6"/>
      <c r="V9" s="2"/>
      <c r="W9" s="2">
        <v>85929475</v>
      </c>
      <c r="X9" s="2">
        <v>1554957</v>
      </c>
      <c r="Y9" s="2">
        <v>643272</v>
      </c>
      <c r="Z9" s="2">
        <v>62940</v>
      </c>
      <c r="AA9" s="2">
        <v>39114</v>
      </c>
      <c r="AB9" s="2">
        <v>0</v>
      </c>
      <c r="AC9" s="2">
        <v>0</v>
      </c>
      <c r="AD9" s="2">
        <v>0</v>
      </c>
      <c r="AE9" s="2">
        <v>0</v>
      </c>
      <c r="AF9" s="2">
        <v>75437193.719999999</v>
      </c>
      <c r="AG9" s="5">
        <f t="shared" si="16"/>
        <v>0.99194206074950686</v>
      </c>
      <c r="AH9" s="2">
        <f t="shared" si="7"/>
        <v>72461367.537751481</v>
      </c>
      <c r="AI9" s="2">
        <f t="shared" si="19"/>
        <v>13950000</v>
      </c>
      <c r="AJ9" s="5">
        <f t="shared" si="17"/>
        <v>1</v>
      </c>
      <c r="AK9" s="4">
        <f t="shared" si="0"/>
        <v>0.85500850796451522</v>
      </c>
      <c r="AL9" s="2">
        <v>1250000</v>
      </c>
      <c r="AM9" s="4">
        <f t="shared" si="1"/>
        <v>0.15915904761718569</v>
      </c>
      <c r="AO9" s="8">
        <f t="shared" si="8"/>
        <v>0.97392849053510788</v>
      </c>
      <c r="AP9" s="8">
        <f t="shared" si="9"/>
        <v>1.762395177972401E-2</v>
      </c>
      <c r="AQ9" s="8">
        <f t="shared" si="10"/>
        <v>7.2908734513215624E-3</v>
      </c>
      <c r="AR9" s="8">
        <f t="shared" si="11"/>
        <v>7.1336475864980777E-4</v>
      </c>
      <c r="AS9" s="8">
        <f t="shared" si="12"/>
        <v>4.433198152181217E-4</v>
      </c>
      <c r="AT9" s="8">
        <f t="shared" si="13"/>
        <v>0</v>
      </c>
    </row>
    <row r="10" spans="1:46" x14ac:dyDescent="0.25">
      <c r="A10">
        <f t="shared" si="14"/>
        <v>6</v>
      </c>
      <c r="B10" s="3">
        <v>39356</v>
      </c>
      <c r="C10" s="4">
        <v>7.0000000000000007E-2</v>
      </c>
      <c r="D10">
        <v>3417</v>
      </c>
      <c r="E10" s="2">
        <v>87977064.849999994</v>
      </c>
      <c r="F10" s="2"/>
      <c r="G10" s="5">
        <f t="shared" si="2"/>
        <v>0.97752294277777774</v>
      </c>
      <c r="H10" s="2">
        <f t="shared" si="3"/>
        <v>77394.524535087723</v>
      </c>
      <c r="I10" s="2"/>
      <c r="J10" s="2"/>
      <c r="K10" s="2"/>
      <c r="L10" s="2"/>
      <c r="M10" s="2"/>
      <c r="N10" s="2"/>
      <c r="O10" s="2"/>
      <c r="P10" s="36">
        <f t="shared" si="4"/>
        <v>3</v>
      </c>
      <c r="Q10" s="6">
        <f t="shared" si="5"/>
        <v>8.7719298245614037E-4</v>
      </c>
      <c r="R10" s="6">
        <f t="shared" si="15"/>
        <v>1.0475679133659432E-2</v>
      </c>
      <c r="S10" s="6">
        <f t="shared" si="18"/>
        <v>1.7356220015561252E-2</v>
      </c>
      <c r="T10" s="6">
        <f>AVERAGE(R5:R10)</f>
        <v>2.1261852412532995E-2</v>
      </c>
      <c r="U10" s="6"/>
      <c r="V10" s="2"/>
      <c r="W10" s="2">
        <v>85241033</v>
      </c>
      <c r="X10" s="2">
        <v>1791866</v>
      </c>
      <c r="Y10" s="2">
        <v>756163</v>
      </c>
      <c r="Z10" s="2">
        <v>166244</v>
      </c>
      <c r="AA10" s="2">
        <v>0</v>
      </c>
      <c r="AB10" s="2">
        <v>21759</v>
      </c>
      <c r="AC10" s="2">
        <v>0</v>
      </c>
      <c r="AD10" s="2">
        <v>0</v>
      </c>
      <c r="AE10" s="2">
        <v>0</v>
      </c>
      <c r="AF10" s="2">
        <v>75343107.599999994</v>
      </c>
      <c r="AG10" s="5">
        <f t="shared" si="16"/>
        <v>0.99070489940828399</v>
      </c>
      <c r="AH10" s="2">
        <f t="shared" si="7"/>
        <v>72370992.901775137</v>
      </c>
      <c r="AI10" s="2">
        <f t="shared" si="19"/>
        <v>13950000</v>
      </c>
      <c r="AJ10" s="5">
        <f t="shared" si="17"/>
        <v>1</v>
      </c>
      <c r="AK10" s="4">
        <f t="shared" si="0"/>
        <v>0.85639487664721747</v>
      </c>
      <c r="AL10" s="2">
        <v>1250000</v>
      </c>
      <c r="AM10" s="4">
        <f t="shared" si="1"/>
        <v>0.15781337185631283</v>
      </c>
      <c r="AO10" s="8">
        <f t="shared" si="8"/>
        <v>0.96890062364930107</v>
      </c>
      <c r="AP10" s="8">
        <f t="shared" si="9"/>
        <v>2.0367421930421452E-2</v>
      </c>
      <c r="AQ10" s="8">
        <f t="shared" si="10"/>
        <v>8.5950014505399817E-3</v>
      </c>
      <c r="AR10" s="8">
        <f t="shared" si="11"/>
        <v>1.8896288513767122E-3</v>
      </c>
      <c r="AS10" s="8">
        <f t="shared" si="12"/>
        <v>0</v>
      </c>
      <c r="AT10" s="8">
        <f t="shared" si="13"/>
        <v>2.4732582335065253E-4</v>
      </c>
    </row>
    <row r="11" spans="1:46" x14ac:dyDescent="0.25">
      <c r="A11">
        <f t="shared" si="14"/>
        <v>7</v>
      </c>
      <c r="B11" s="3">
        <v>39387</v>
      </c>
      <c r="C11" s="4">
        <v>6.7500000000000004E-2</v>
      </c>
      <c r="D11">
        <v>3402</v>
      </c>
      <c r="E11" s="2">
        <v>87380486.879999995</v>
      </c>
      <c r="F11" s="2"/>
      <c r="G11" s="5">
        <f t="shared" si="2"/>
        <v>0.97089429866666666</v>
      </c>
      <c r="H11" s="2">
        <f t="shared" si="3"/>
        <v>386203.09416154516</v>
      </c>
      <c r="I11" s="2"/>
      <c r="J11" s="2"/>
      <c r="K11" s="2"/>
      <c r="L11" s="2"/>
      <c r="M11" s="2"/>
      <c r="N11" s="2"/>
      <c r="O11" s="2"/>
      <c r="P11" s="36">
        <f t="shared" si="4"/>
        <v>15</v>
      </c>
      <c r="Q11" s="6">
        <f t="shared" si="5"/>
        <v>4.389815627743634E-3</v>
      </c>
      <c r="R11" s="6">
        <f t="shared" si="15"/>
        <v>5.1424363885391289E-2</v>
      </c>
      <c r="S11" s="6">
        <f t="shared" si="18"/>
        <v>2.7571517795791034E-2</v>
      </c>
      <c r="T11" s="6">
        <f t="shared" ref="T11:T69" si="20">AVERAGE(R6:R11)</f>
        <v>2.3015361742644808E-2</v>
      </c>
      <c r="U11" s="6"/>
      <c r="V11" s="2"/>
      <c r="W11" s="2">
        <v>84722090</v>
      </c>
      <c r="X11" s="2">
        <v>1802994</v>
      </c>
      <c r="Y11" s="2">
        <v>740153</v>
      </c>
      <c r="Z11" s="2">
        <v>69474</v>
      </c>
      <c r="AA11" s="2">
        <v>24016</v>
      </c>
      <c r="AB11" s="2">
        <v>21759</v>
      </c>
      <c r="AC11" s="2">
        <v>0</v>
      </c>
      <c r="AD11" s="2">
        <v>0</v>
      </c>
      <c r="AE11" s="2">
        <v>0</v>
      </c>
      <c r="AF11" s="2">
        <v>74907929.540000007</v>
      </c>
      <c r="AG11" s="5">
        <f t="shared" si="16"/>
        <v>0.98498263694937549</v>
      </c>
      <c r="AH11" s="2">
        <f t="shared" si="7"/>
        <v>71952981.629151881</v>
      </c>
      <c r="AI11" s="2">
        <f t="shared" ref="AI11" si="21">+AI10</f>
        <v>13950000</v>
      </c>
      <c r="AJ11" s="5">
        <f t="shared" si="17"/>
        <v>1</v>
      </c>
      <c r="AK11" s="4">
        <f t="shared" si="0"/>
        <v>0.85726152616740847</v>
      </c>
      <c r="AL11" s="2">
        <v>1250000</v>
      </c>
      <c r="AM11" s="4">
        <f t="shared" si="1"/>
        <v>0.15704372715209558</v>
      </c>
      <c r="AO11" s="8">
        <f t="shared" si="8"/>
        <v>0.96957676736625664</v>
      </c>
      <c r="AP11" s="8">
        <f t="shared" si="9"/>
        <v>2.0633828722836707E-2</v>
      </c>
      <c r="AQ11" s="8">
        <f t="shared" si="10"/>
        <v>8.4704609281527048E-3</v>
      </c>
      <c r="AR11" s="8">
        <f t="shared" si="11"/>
        <v>7.9507453529537953E-4</v>
      </c>
      <c r="AS11" s="8">
        <f t="shared" si="12"/>
        <v>2.7484397097696743E-4</v>
      </c>
      <c r="AT11" s="8">
        <f t="shared" si="13"/>
        <v>2.4901440558327089E-4</v>
      </c>
    </row>
    <row r="12" spans="1:46" x14ac:dyDescent="0.25">
      <c r="A12">
        <f t="shared" si="14"/>
        <v>8</v>
      </c>
      <c r="B12" s="3">
        <v>39417</v>
      </c>
      <c r="C12" s="4">
        <v>6.7500000000000004E-2</v>
      </c>
      <c r="D12">
        <v>3395</v>
      </c>
      <c r="E12" s="2">
        <v>87049871.049999997</v>
      </c>
      <c r="F12" s="2"/>
      <c r="G12" s="5">
        <f t="shared" si="2"/>
        <v>0.96722078944444445</v>
      </c>
      <c r="H12" s="2">
        <f t="shared" si="3"/>
        <v>179795.24049382715</v>
      </c>
      <c r="I12" s="2"/>
      <c r="J12" s="2"/>
      <c r="K12" s="2"/>
      <c r="L12" s="2"/>
      <c r="M12" s="2"/>
      <c r="N12" s="2"/>
      <c r="O12" s="2"/>
      <c r="P12" s="36">
        <f t="shared" si="4"/>
        <v>7</v>
      </c>
      <c r="Q12" s="6">
        <f t="shared" si="5"/>
        <v>2.05761316872428E-3</v>
      </c>
      <c r="R12" s="6">
        <f t="shared" si="15"/>
        <v>2.441383675448805E-2</v>
      </c>
      <c r="S12" s="6">
        <f t="shared" si="18"/>
        <v>2.8771293257846258E-2</v>
      </c>
      <c r="T12" s="6">
        <f t="shared" si="20"/>
        <v>2.4774902665253045E-2</v>
      </c>
      <c r="U12" s="6"/>
      <c r="V12" s="2"/>
      <c r="W12" s="2">
        <v>84127578</v>
      </c>
      <c r="X12" s="2">
        <v>1819281</v>
      </c>
      <c r="Y12" s="2">
        <v>966516</v>
      </c>
      <c r="Z12" s="2">
        <v>88169</v>
      </c>
      <c r="AA12" s="2">
        <v>24311</v>
      </c>
      <c r="AB12" s="2">
        <v>24016</v>
      </c>
      <c r="AC12" s="2">
        <v>0</v>
      </c>
      <c r="AD12" s="2">
        <v>0</v>
      </c>
      <c r="AE12" s="2">
        <v>0</v>
      </c>
      <c r="AF12" s="2">
        <v>74714313.010000005</v>
      </c>
      <c r="AG12" s="5">
        <f t="shared" si="16"/>
        <v>0.98243672596975684</v>
      </c>
      <c r="AH12" s="2">
        <f t="shared" si="7"/>
        <v>71767002.832090735</v>
      </c>
      <c r="AI12" s="2">
        <f t="shared" ref="AI12" si="22">+AI11</f>
        <v>13950000</v>
      </c>
      <c r="AJ12" s="5">
        <f t="shared" si="17"/>
        <v>1</v>
      </c>
      <c r="AK12" s="4">
        <f t="shared" si="0"/>
        <v>0.85829320720171254</v>
      </c>
      <c r="AL12" s="2">
        <v>1250000</v>
      </c>
      <c r="AM12" s="4">
        <f t="shared" si="1"/>
        <v>0.15606637753887853</v>
      </c>
      <c r="AO12" s="8">
        <f t="shared" si="8"/>
        <v>0.96642966824934773</v>
      </c>
      <c r="AP12" s="8">
        <f t="shared" si="9"/>
        <v>2.0899295749157804E-2</v>
      </c>
      <c r="AQ12" s="8">
        <f t="shared" si="10"/>
        <v>1.1103014724109692E-2</v>
      </c>
      <c r="AR12" s="8">
        <f t="shared" si="11"/>
        <v>1.012856181594539E-3</v>
      </c>
      <c r="AS12" s="8">
        <f t="shared" si="12"/>
        <v>2.7927669170280751E-4</v>
      </c>
      <c r="AT12" s="8">
        <f t="shared" si="13"/>
        <v>2.7588782970402803E-4</v>
      </c>
    </row>
    <row r="13" spans="1:46" x14ac:dyDescent="0.25">
      <c r="A13">
        <f t="shared" si="14"/>
        <v>9</v>
      </c>
      <c r="B13" s="3">
        <v>39448</v>
      </c>
      <c r="C13" s="4">
        <v>6.7500000000000004E-2</v>
      </c>
      <c r="D13">
        <v>3384</v>
      </c>
      <c r="E13" s="2">
        <v>86568993.060000002</v>
      </c>
      <c r="F13" s="2"/>
      <c r="G13" s="5">
        <f t="shared" si="2"/>
        <v>0.96187770066666667</v>
      </c>
      <c r="H13" s="2">
        <f t="shared" si="3"/>
        <v>282046.71032400592</v>
      </c>
      <c r="I13" s="2"/>
      <c r="J13" s="2"/>
      <c r="K13" s="2"/>
      <c r="L13" s="2"/>
      <c r="M13" s="2"/>
      <c r="N13" s="2"/>
      <c r="O13" s="2"/>
      <c r="P13" s="36">
        <f t="shared" si="4"/>
        <v>11</v>
      </c>
      <c r="Q13" s="6">
        <f t="shared" si="5"/>
        <v>3.2400589101620036E-3</v>
      </c>
      <c r="R13" s="6">
        <f t="shared" si="15"/>
        <v>3.8195268953426398E-2</v>
      </c>
      <c r="S13" s="6">
        <f t="shared" si="18"/>
        <v>3.801115653110191E-2</v>
      </c>
      <c r="T13" s="6">
        <f t="shared" si="20"/>
        <v>2.7683688273331581E-2</v>
      </c>
      <c r="U13" s="6"/>
      <c r="V13" s="2"/>
      <c r="W13" s="2">
        <v>83579175</v>
      </c>
      <c r="X13" s="2">
        <v>1874487</v>
      </c>
      <c r="Y13" s="2">
        <v>976776</v>
      </c>
      <c r="Z13" s="2">
        <v>90228</v>
      </c>
      <c r="AA13" s="2">
        <v>0</v>
      </c>
      <c r="AB13" s="2">
        <v>24311</v>
      </c>
      <c r="AC13" s="2">
        <v>24016.400000000001</v>
      </c>
      <c r="AD13" s="2">
        <v>24016.400000000001</v>
      </c>
      <c r="AE13" s="4">
        <f>+AD13/$E$4</f>
        <v>2.668488888888889E-4</v>
      </c>
      <c r="AF13" s="2">
        <v>74353246.290000007</v>
      </c>
      <c r="AG13" s="5">
        <f t="shared" si="16"/>
        <v>0.97768897159763324</v>
      </c>
      <c r="AH13" s="2">
        <f t="shared" si="7"/>
        <v>71420179.375207111</v>
      </c>
      <c r="AI13" s="2">
        <f t="shared" ref="AI13" si="23">+AI12</f>
        <v>13950000</v>
      </c>
      <c r="AJ13" s="5">
        <f t="shared" si="17"/>
        <v>1</v>
      </c>
      <c r="AK13" s="4">
        <f t="shared" si="0"/>
        <v>0.85889004436573035</v>
      </c>
      <c r="AL13" s="2">
        <v>1250000</v>
      </c>
      <c r="AM13" s="4">
        <f t="shared" si="1"/>
        <v>0.15554930575046699</v>
      </c>
      <c r="AN13" s="4"/>
      <c r="AO13" s="8">
        <f t="shared" si="8"/>
        <v>0.96546317619834399</v>
      </c>
      <c r="AP13" s="8">
        <f t="shared" si="9"/>
        <v>2.1653099265008361E-2</v>
      </c>
      <c r="AQ13" s="8">
        <f t="shared" si="10"/>
        <v>1.1283208519279039E-2</v>
      </c>
      <c r="AR13" s="8">
        <f t="shared" si="11"/>
        <v>1.0422669458274047E-3</v>
      </c>
      <c r="AS13" s="8">
        <f t="shared" si="12"/>
        <v>0</v>
      </c>
      <c r="AT13" s="8">
        <f t="shared" si="13"/>
        <v>2.8082803253989933E-4</v>
      </c>
    </row>
    <row r="14" spans="1:46" x14ac:dyDescent="0.25">
      <c r="A14">
        <f t="shared" si="14"/>
        <v>10</v>
      </c>
      <c r="B14" s="3">
        <v>39479</v>
      </c>
      <c r="C14" s="4">
        <v>6.7500000000000004E-2</v>
      </c>
      <c r="D14">
        <v>3377</v>
      </c>
      <c r="E14" s="2">
        <v>86225579.950000003</v>
      </c>
      <c r="F14" s="2"/>
      <c r="G14" s="5">
        <f t="shared" si="2"/>
        <v>0.95806199944444448</v>
      </c>
      <c r="H14" s="2">
        <f t="shared" si="3"/>
        <v>179072.97618794328</v>
      </c>
      <c r="I14" s="2"/>
      <c r="J14" s="2"/>
      <c r="K14" s="2"/>
      <c r="L14" s="2"/>
      <c r="M14" s="2"/>
      <c r="N14" s="2"/>
      <c r="O14" s="2"/>
      <c r="P14" s="36">
        <f t="shared" si="4"/>
        <v>7</v>
      </c>
      <c r="Q14" s="6">
        <f t="shared" si="5"/>
        <v>2.0685579196217494E-3</v>
      </c>
      <c r="R14" s="6">
        <f t="shared" si="15"/>
        <v>2.4542223767139992E-2</v>
      </c>
      <c r="S14" s="6">
        <f t="shared" si="18"/>
        <v>2.905044315835148E-2</v>
      </c>
      <c r="T14" s="6">
        <f t="shared" si="20"/>
        <v>2.8310980477071257E-2</v>
      </c>
      <c r="U14" s="6"/>
      <c r="V14" s="2"/>
      <c r="W14" s="2">
        <v>83267403</v>
      </c>
      <c r="X14" s="2">
        <v>1658331</v>
      </c>
      <c r="Y14" s="2">
        <v>1029220</v>
      </c>
      <c r="Z14" s="2">
        <v>110379</v>
      </c>
      <c r="AA14" s="2">
        <v>73295</v>
      </c>
      <c r="AB14" s="2">
        <v>38624</v>
      </c>
      <c r="AC14" s="2">
        <v>24310.67</v>
      </c>
      <c r="AD14" s="2">
        <v>48327.07</v>
      </c>
      <c r="AE14" s="4">
        <f t="shared" ref="AE14:AE78" si="24">+AD14/$E$4</f>
        <v>5.3696744444444442E-4</v>
      </c>
      <c r="AF14" s="2">
        <v>74173797.319999993</v>
      </c>
      <c r="AG14" s="5">
        <f t="shared" si="16"/>
        <v>0.975329353320184</v>
      </c>
      <c r="AH14" s="2">
        <f t="shared" si="7"/>
        <v>71247809.260039449</v>
      </c>
      <c r="AI14" s="2">
        <f t="shared" ref="AI14" si="25">+AI13</f>
        <v>13950000</v>
      </c>
      <c r="AJ14" s="5">
        <f t="shared" si="17"/>
        <v>1</v>
      </c>
      <c r="AK14" s="4">
        <f t="shared" si="0"/>
        <v>0.86022961356724381</v>
      </c>
      <c r="AL14" s="2">
        <v>1250000</v>
      </c>
      <c r="AM14" s="4">
        <f t="shared" si="1"/>
        <v>0.15426724456609475</v>
      </c>
      <c r="AN14" s="4"/>
      <c r="AO14" s="8">
        <f t="shared" si="8"/>
        <v>0.96569258273803005</v>
      </c>
      <c r="AP14" s="8">
        <f t="shared" si="9"/>
        <v>1.9232471396094099E-2</v>
      </c>
      <c r="AQ14" s="8">
        <f t="shared" si="10"/>
        <v>1.1936365062395848E-2</v>
      </c>
      <c r="AR14" s="8">
        <f t="shared" si="11"/>
        <v>1.28011896311983E-3</v>
      </c>
      <c r="AS14" s="8">
        <f t="shared" si="12"/>
        <v>8.5003777350644541E-4</v>
      </c>
      <c r="AT14" s="8">
        <f t="shared" si="13"/>
        <v>4.4794131883365776E-4</v>
      </c>
    </row>
    <row r="15" spans="1:46" x14ac:dyDescent="0.25">
      <c r="A15">
        <f t="shared" si="14"/>
        <v>11</v>
      </c>
      <c r="B15" s="3">
        <v>39508</v>
      </c>
      <c r="C15" s="4">
        <v>6.7500000000000004E-2</v>
      </c>
      <c r="D15">
        <v>3368</v>
      </c>
      <c r="E15" s="2">
        <v>85869111</v>
      </c>
      <c r="F15" s="2"/>
      <c r="G15" s="5">
        <f t="shared" si="2"/>
        <v>0.9541012333333333</v>
      </c>
      <c r="H15" s="2">
        <f t="shared" si="3"/>
        <v>229798.70285756589</v>
      </c>
      <c r="I15" s="2"/>
      <c r="J15" s="2"/>
      <c r="K15" s="2"/>
      <c r="L15" s="2"/>
      <c r="M15" s="2"/>
      <c r="N15" s="2"/>
      <c r="O15" s="2"/>
      <c r="P15" s="36">
        <f t="shared" si="4"/>
        <v>9</v>
      </c>
      <c r="Q15" s="6">
        <f t="shared" si="5"/>
        <v>2.6650873556411016E-3</v>
      </c>
      <c r="R15" s="6">
        <f t="shared" si="15"/>
        <v>3.1516410265516992E-2</v>
      </c>
      <c r="S15" s="6">
        <f t="shared" si="18"/>
        <v>3.1417967662027792E-2</v>
      </c>
      <c r="T15" s="6">
        <f t="shared" si="20"/>
        <v>3.0094630459937027E-2</v>
      </c>
      <c r="U15" s="6"/>
      <c r="V15" s="2"/>
      <c r="W15" s="2">
        <v>82307974</v>
      </c>
      <c r="X15" s="2">
        <v>2283060</v>
      </c>
      <c r="Y15" s="2">
        <v>938716</v>
      </c>
      <c r="Z15" s="2">
        <v>155314</v>
      </c>
      <c r="AA15" s="2">
        <v>85355</v>
      </c>
      <c r="AB15" s="2">
        <v>74676</v>
      </c>
      <c r="AC15" s="2">
        <v>0</v>
      </c>
      <c r="AD15" s="2">
        <v>48327.07</v>
      </c>
      <c r="AE15" s="4">
        <f t="shared" si="24"/>
        <v>5.3696744444444442E-4</v>
      </c>
      <c r="AF15" s="2">
        <v>73952396.299999997</v>
      </c>
      <c r="AG15" s="5">
        <f t="shared" si="16"/>
        <v>0.97241809730440498</v>
      </c>
      <c r="AH15" s="2">
        <f t="shared" si="7"/>
        <v>71035142.008086786</v>
      </c>
      <c r="AI15" s="2">
        <f t="shared" ref="AI15" si="26">+AI14</f>
        <v>13950000</v>
      </c>
      <c r="AJ15" s="5">
        <f t="shared" si="17"/>
        <v>1</v>
      </c>
      <c r="AK15" s="4">
        <f t="shared" si="0"/>
        <v>0.86122233523530944</v>
      </c>
      <c r="AL15" s="9">
        <v>1250000</v>
      </c>
      <c r="AM15" s="4">
        <f t="shared" si="1"/>
        <v>0.1533347037912155</v>
      </c>
      <c r="AN15" s="4"/>
      <c r="AO15" s="8">
        <f t="shared" si="8"/>
        <v>0.9585283117697585</v>
      </c>
      <c r="AP15" s="8">
        <f t="shared" si="9"/>
        <v>2.658767481591838E-2</v>
      </c>
      <c r="AQ15" s="8">
        <f t="shared" si="10"/>
        <v>1.093194035745869E-2</v>
      </c>
      <c r="AR15" s="8">
        <f t="shared" si="11"/>
        <v>1.8087295674925528E-3</v>
      </c>
      <c r="AS15" s="8">
        <f t="shared" si="12"/>
        <v>9.9401285288722749E-4</v>
      </c>
      <c r="AT15" s="8">
        <f t="shared" si="13"/>
        <v>8.696491570758197E-4</v>
      </c>
    </row>
    <row r="16" spans="1:46" x14ac:dyDescent="0.25">
      <c r="A16">
        <f t="shared" si="14"/>
        <v>12</v>
      </c>
      <c r="B16" s="3">
        <v>39539</v>
      </c>
      <c r="C16" s="4">
        <v>6.7500000000000004E-2</v>
      </c>
      <c r="D16">
        <v>3351</v>
      </c>
      <c r="E16" s="2">
        <v>85274715.319999993</v>
      </c>
      <c r="F16" s="2"/>
      <c r="G16" s="5">
        <f t="shared" si="2"/>
        <v>0.94749683688888886</v>
      </c>
      <c r="H16" s="2">
        <f t="shared" si="3"/>
        <v>433424.84768408549</v>
      </c>
      <c r="I16" s="2"/>
      <c r="J16" s="2"/>
      <c r="K16" s="2"/>
      <c r="L16" s="2"/>
      <c r="M16" s="2"/>
      <c r="N16" s="2"/>
      <c r="O16" s="2"/>
      <c r="P16" s="36">
        <f t="shared" si="4"/>
        <v>17</v>
      </c>
      <c r="Q16" s="6">
        <f t="shared" si="5"/>
        <v>5.0475059382422797E-3</v>
      </c>
      <c r="R16" s="6">
        <f t="shared" si="15"/>
        <v>5.8916540987253296E-2</v>
      </c>
      <c r="S16" s="6">
        <f t="shared" si="18"/>
        <v>3.8325058339970096E-2</v>
      </c>
      <c r="T16" s="6">
        <f t="shared" si="20"/>
        <v>3.8168107435536003E-2</v>
      </c>
      <c r="U16" s="6">
        <f>AVERAGE(R5:R16)</f>
        <v>2.9714979924034501E-2</v>
      </c>
      <c r="V16" s="2">
        <v>2284900.2000000002</v>
      </c>
      <c r="W16" s="2">
        <v>81941682</v>
      </c>
      <c r="X16" s="2">
        <v>2051240</v>
      </c>
      <c r="Y16" s="2">
        <v>873452</v>
      </c>
      <c r="Z16" s="2">
        <v>186678</v>
      </c>
      <c r="AA16" s="2">
        <v>60552</v>
      </c>
      <c r="AB16" s="2">
        <v>76565</v>
      </c>
      <c r="AC16" s="2">
        <v>24310.67</v>
      </c>
      <c r="AD16" s="2">
        <v>108874.93</v>
      </c>
      <c r="AE16" s="4">
        <f t="shared" si="24"/>
        <v>1.2097214444444443E-3</v>
      </c>
      <c r="AF16" s="2">
        <v>71197033</v>
      </c>
      <c r="AG16" s="5">
        <f t="shared" si="16"/>
        <v>0.93618715318869161</v>
      </c>
      <c r="AH16" s="2">
        <f t="shared" si="7"/>
        <v>68388471.540433928</v>
      </c>
      <c r="AI16" s="2">
        <f t="shared" ref="AI16" si="27">+AI15</f>
        <v>13950000</v>
      </c>
      <c r="AJ16" s="5">
        <f t="shared" si="17"/>
        <v>1</v>
      </c>
      <c r="AK16" s="4">
        <f t="shared" si="0"/>
        <v>0.83491375764583442</v>
      </c>
      <c r="AL16" s="9">
        <v>1250000</v>
      </c>
      <c r="AM16" s="4">
        <f t="shared" si="1"/>
        <v>0.1797447492199965</v>
      </c>
      <c r="AN16" s="4"/>
      <c r="AO16" s="8">
        <f t="shared" si="8"/>
        <v>0.96091416655578943</v>
      </c>
      <c r="AP16" s="8">
        <f t="shared" si="9"/>
        <v>2.4054492498773668E-2</v>
      </c>
      <c r="AQ16" s="8">
        <f t="shared" si="10"/>
        <v>1.0242801711179023E-2</v>
      </c>
      <c r="AR16" s="8">
        <f t="shared" si="11"/>
        <v>2.1891365957596729E-3</v>
      </c>
      <c r="AS16" s="8">
        <f t="shared" si="12"/>
        <v>7.1008152619183673E-4</v>
      </c>
      <c r="AT16" s="8">
        <f t="shared" si="13"/>
        <v>8.9786286254587764E-4</v>
      </c>
    </row>
    <row r="17" spans="1:46" x14ac:dyDescent="0.25">
      <c r="A17">
        <f t="shared" si="14"/>
        <v>13</v>
      </c>
      <c r="B17" s="3">
        <v>39569</v>
      </c>
      <c r="C17" s="4">
        <v>6.7500000000000004E-2</v>
      </c>
      <c r="D17">
        <v>3340</v>
      </c>
      <c r="E17" s="2">
        <v>84826249.400000006</v>
      </c>
      <c r="F17" s="2"/>
      <c r="G17" s="5">
        <f t="shared" si="2"/>
        <v>0.94251388222222232</v>
      </c>
      <c r="H17" s="2">
        <f t="shared" si="3"/>
        <v>279922.96882124734</v>
      </c>
      <c r="I17" s="2"/>
      <c r="J17" s="2"/>
      <c r="K17" s="2"/>
      <c r="L17" s="2"/>
      <c r="M17" s="2"/>
      <c r="N17" s="2"/>
      <c r="O17" s="2"/>
      <c r="P17" s="36">
        <f t="shared" si="4"/>
        <v>11</v>
      </c>
      <c r="Q17" s="6">
        <f t="shared" si="5"/>
        <v>3.2826022082960309E-3</v>
      </c>
      <c r="R17" s="6">
        <f t="shared" si="15"/>
        <v>3.8687769579541675E-2</v>
      </c>
      <c r="S17" s="6">
        <f t="shared" si="18"/>
        <v>4.3040240277437324E-2</v>
      </c>
      <c r="T17" s="6">
        <f t="shared" si="20"/>
        <v>3.6045341717894398E-2</v>
      </c>
      <c r="U17" s="6">
        <f t="shared" ref="U17:U22" si="28">AVERAGE(R6:R17)</f>
        <v>2.9530351730269605E-2</v>
      </c>
      <c r="V17" s="2"/>
      <c r="W17" s="2">
        <v>80791151</v>
      </c>
      <c r="X17" s="2">
        <v>2643353</v>
      </c>
      <c r="Y17" s="2">
        <v>1014796</v>
      </c>
      <c r="Z17" s="2">
        <v>179783</v>
      </c>
      <c r="AA17" s="2">
        <v>42792</v>
      </c>
      <c r="AB17" s="2">
        <v>79997</v>
      </c>
      <c r="AC17" s="2">
        <v>28434.47</v>
      </c>
      <c r="AD17" s="2">
        <v>137309.4</v>
      </c>
      <c r="AE17" s="4">
        <f t="shared" si="24"/>
        <v>1.5256599999999999E-3</v>
      </c>
      <c r="AF17" s="2">
        <v>70972229.010000005</v>
      </c>
      <c r="AG17" s="5">
        <f t="shared" si="16"/>
        <v>0.93323115069033535</v>
      </c>
      <c r="AH17" s="2">
        <f t="shared" si="7"/>
        <v>68172535.557928994</v>
      </c>
      <c r="AI17" s="2">
        <f t="shared" ref="AI17" si="29">+AI16</f>
        <v>13950000</v>
      </c>
      <c r="AJ17" s="5">
        <f t="shared" si="17"/>
        <v>1</v>
      </c>
      <c r="AK17" s="4">
        <f t="shared" si="0"/>
        <v>0.83667767362115619</v>
      </c>
      <c r="AL17" s="9">
        <v>1170000</v>
      </c>
      <c r="AM17" s="4">
        <f t="shared" si="1"/>
        <v>0.17711522666944646</v>
      </c>
      <c r="AN17" s="4"/>
      <c r="AO17" s="8">
        <f t="shared" si="8"/>
        <v>0.9524310171846404</v>
      </c>
      <c r="AP17" s="8">
        <f t="shared" si="9"/>
        <v>3.1161969540056074E-2</v>
      </c>
      <c r="AQ17" s="8">
        <f t="shared" si="10"/>
        <v>1.1963230806241445E-2</v>
      </c>
      <c r="AR17" s="8">
        <f t="shared" si="11"/>
        <v>2.1194264896969499E-3</v>
      </c>
      <c r="AS17" s="8">
        <f t="shared" si="12"/>
        <v>5.0446648652604457E-4</v>
      </c>
      <c r="AT17" s="8">
        <f t="shared" si="13"/>
        <v>9.4306892696354426E-4</v>
      </c>
    </row>
    <row r="18" spans="1:46" x14ac:dyDescent="0.25">
      <c r="A18">
        <f t="shared" si="14"/>
        <v>14</v>
      </c>
      <c r="B18" s="3">
        <v>39600</v>
      </c>
      <c r="C18" s="4">
        <v>6.7500000000000004E-2</v>
      </c>
      <c r="D18">
        <v>3327</v>
      </c>
      <c r="E18" s="2">
        <v>84291326.959999993</v>
      </c>
      <c r="F18" s="2"/>
      <c r="G18" s="5">
        <f t="shared" si="2"/>
        <v>0.93657029955555549</v>
      </c>
      <c r="H18" s="2">
        <f t="shared" si="3"/>
        <v>330162.04856287426</v>
      </c>
      <c r="I18" s="2"/>
      <c r="J18" s="2"/>
      <c r="K18" s="2"/>
      <c r="L18" s="2"/>
      <c r="M18" s="2"/>
      <c r="N18" s="2"/>
      <c r="O18" s="2"/>
      <c r="P18" s="36">
        <f t="shared" si="4"/>
        <v>13</v>
      </c>
      <c r="Q18" s="6">
        <f t="shared" si="5"/>
        <v>3.8922155688622751E-3</v>
      </c>
      <c r="R18" s="6">
        <f t="shared" si="15"/>
        <v>4.5719589543655959E-2</v>
      </c>
      <c r="S18" s="6">
        <f t="shared" si="18"/>
        <v>4.777463337015031E-2</v>
      </c>
      <c r="T18" s="6">
        <f t="shared" si="20"/>
        <v>3.9596300516089054E-2</v>
      </c>
      <c r="U18" s="6">
        <f t="shared" si="28"/>
        <v>3.2185601590671048E-2</v>
      </c>
      <c r="V18" s="2"/>
      <c r="W18" s="2">
        <v>80628773</v>
      </c>
      <c r="X18" s="2">
        <v>2435678</v>
      </c>
      <c r="Y18" s="2">
        <v>793785</v>
      </c>
      <c r="Z18" s="2">
        <v>184047</v>
      </c>
      <c r="AA18" s="2">
        <v>34485</v>
      </c>
      <c r="AB18" s="2">
        <v>125865</v>
      </c>
      <c r="AC18" s="2">
        <v>42753.56</v>
      </c>
      <c r="AD18" s="2">
        <v>180062.96</v>
      </c>
      <c r="AE18" s="4">
        <f t="shared" si="24"/>
        <v>2.0006995555555554E-3</v>
      </c>
      <c r="AF18" s="2">
        <v>70629679.140000001</v>
      </c>
      <c r="AG18" s="5">
        <f t="shared" si="16"/>
        <v>0.92872687889546357</v>
      </c>
      <c r="AH18" s="2">
        <f t="shared" si="7"/>
        <v>67843498.503313616</v>
      </c>
      <c r="AI18" s="2">
        <f t="shared" ref="AI18" si="30">+AI17</f>
        <v>13950000</v>
      </c>
      <c r="AJ18" s="5">
        <f t="shared" si="17"/>
        <v>1</v>
      </c>
      <c r="AK18" s="4">
        <f t="shared" si="0"/>
        <v>0.83792344583111078</v>
      </c>
      <c r="AL18" s="9">
        <v>1170000</v>
      </c>
      <c r="AM18" s="4">
        <f t="shared" si="1"/>
        <v>0.17595698578856489</v>
      </c>
      <c r="AN18" s="4"/>
      <c r="AO18" s="8">
        <f t="shared" si="8"/>
        <v>0.95654886342294698</v>
      </c>
      <c r="AP18" s="8">
        <f t="shared" si="9"/>
        <v>2.8895950364571175E-2</v>
      </c>
      <c r="AQ18" s="8">
        <f t="shared" si="10"/>
        <v>9.4171610369437712E-3</v>
      </c>
      <c r="AR18" s="8">
        <f t="shared" si="11"/>
        <v>2.183463075475589E-3</v>
      </c>
      <c r="AS18" s="8">
        <f t="shared" si="12"/>
        <v>4.0911682427736219E-4</v>
      </c>
      <c r="AT18" s="8">
        <f t="shared" si="13"/>
        <v>1.493214124624335E-3</v>
      </c>
    </row>
    <row r="19" spans="1:46" x14ac:dyDescent="0.25">
      <c r="A19">
        <f t="shared" si="14"/>
        <v>15</v>
      </c>
      <c r="B19" s="3">
        <v>39630</v>
      </c>
      <c r="C19" s="4">
        <v>6.7500000000000004E-2</v>
      </c>
      <c r="D19">
        <v>3311</v>
      </c>
      <c r="E19" s="2">
        <v>83736828.569999993</v>
      </c>
      <c r="F19" s="2">
        <v>83735035.489999995</v>
      </c>
      <c r="G19" s="5">
        <f t="shared" si="2"/>
        <v>0.93040920633333324</v>
      </c>
      <c r="H19" s="2">
        <f t="shared" si="3"/>
        <v>405368.56969041174</v>
      </c>
      <c r="I19" s="2"/>
      <c r="J19" s="2"/>
      <c r="K19" s="2"/>
      <c r="L19" s="2"/>
      <c r="M19" s="2"/>
      <c r="N19" s="2"/>
      <c r="O19" s="2"/>
      <c r="P19" s="36">
        <f t="shared" si="4"/>
        <v>16</v>
      </c>
      <c r="Q19" s="6">
        <f t="shared" si="5"/>
        <v>4.8091373609858729E-3</v>
      </c>
      <c r="R19" s="6">
        <f t="shared" si="15"/>
        <v>5.6207420093318805E-2</v>
      </c>
      <c r="S19" s="6">
        <f t="shared" si="18"/>
        <v>4.6871593072172146E-2</v>
      </c>
      <c r="T19" s="6">
        <f t="shared" si="20"/>
        <v>4.2598325706071118E-2</v>
      </c>
      <c r="U19" s="6">
        <f t="shared" si="28"/>
        <v>3.5141006989701351E-2</v>
      </c>
      <c r="V19" s="2"/>
      <c r="W19" s="2">
        <v>79693110</v>
      </c>
      <c r="X19" s="2">
        <v>2736767</v>
      </c>
      <c r="Y19" s="2">
        <v>1023603</v>
      </c>
      <c r="Z19" s="2">
        <v>164968</v>
      </c>
      <c r="AA19" s="2">
        <v>39172</v>
      </c>
      <c r="AB19" s="2">
        <v>42275</v>
      </c>
      <c r="AC19" s="2">
        <v>17488.16</v>
      </c>
      <c r="AD19" s="2">
        <v>197551.12</v>
      </c>
      <c r="AE19" s="4">
        <f t="shared" si="24"/>
        <v>2.1950124444444444E-3</v>
      </c>
      <c r="AF19" s="2">
        <v>70252359.840000004</v>
      </c>
      <c r="AG19" s="5">
        <f t="shared" si="16"/>
        <v>0.92376541538461543</v>
      </c>
      <c r="AH19" s="2">
        <f t="shared" si="7"/>
        <v>67481063.593846157</v>
      </c>
      <c r="AI19" s="2">
        <f t="shared" ref="AI19:AI82" si="31">+AI18</f>
        <v>13950000</v>
      </c>
      <c r="AJ19" s="5">
        <f t="shared" si="17"/>
        <v>1</v>
      </c>
      <c r="AK19" s="4">
        <f t="shared" si="0"/>
        <v>0.83896609221678831</v>
      </c>
      <c r="AL19" s="9">
        <v>1170000</v>
      </c>
      <c r="AM19" s="4">
        <f t="shared" si="1"/>
        <v>0.17500625447916929</v>
      </c>
      <c r="AN19" s="4"/>
      <c r="AO19" s="8">
        <f t="shared" si="8"/>
        <v>0.95170919846075086</v>
      </c>
      <c r="AP19" s="8">
        <f t="shared" si="9"/>
        <v>3.2682955000047482E-2</v>
      </c>
      <c r="AQ19" s="8">
        <f t="shared" si="10"/>
        <v>1.2224047858993331E-2</v>
      </c>
      <c r="AR19" s="8">
        <f t="shared" si="11"/>
        <v>1.9700769997766827E-3</v>
      </c>
      <c r="AS19" s="8">
        <f t="shared" si="12"/>
        <v>4.6779894425132281E-4</v>
      </c>
      <c r="AT19" s="8">
        <f t="shared" si="13"/>
        <v>5.0485551843726818E-4</v>
      </c>
    </row>
    <row r="20" spans="1:46" x14ac:dyDescent="0.25">
      <c r="A20">
        <f t="shared" si="14"/>
        <v>16</v>
      </c>
      <c r="B20" s="3">
        <v>39661</v>
      </c>
      <c r="C20" s="4">
        <v>6.7500000000000004E-2</v>
      </c>
      <c r="D20">
        <v>3292</v>
      </c>
      <c r="E20" s="2">
        <v>83034260.409999996</v>
      </c>
      <c r="F20" s="2"/>
      <c r="G20" s="5">
        <f t="shared" si="2"/>
        <v>0.92260289344444435</v>
      </c>
      <c r="H20" s="2">
        <f t="shared" si="3"/>
        <v>480519.40284808207</v>
      </c>
      <c r="I20" s="2"/>
      <c r="J20" s="2"/>
      <c r="K20" s="2"/>
      <c r="L20" s="2"/>
      <c r="M20" s="2"/>
      <c r="N20" s="2"/>
      <c r="O20" s="2"/>
      <c r="P20" s="36">
        <f t="shared" si="4"/>
        <v>19</v>
      </c>
      <c r="Q20" s="6">
        <f t="shared" si="5"/>
        <v>5.7384475989127144E-3</v>
      </c>
      <c r="R20" s="6">
        <f t="shared" si="15"/>
        <v>6.6729046264041747E-2</v>
      </c>
      <c r="S20" s="6">
        <f t="shared" si="18"/>
        <v>5.6218685300338835E-2</v>
      </c>
      <c r="T20" s="6">
        <f t="shared" si="20"/>
        <v>4.9629462788888079E-2</v>
      </c>
      <c r="U20" s="6">
        <f t="shared" si="28"/>
        <v>3.8970221632979668E-2</v>
      </c>
      <c r="V20" s="2"/>
      <c r="W20" s="2">
        <v>79143158</v>
      </c>
      <c r="X20" s="2">
        <v>2393581</v>
      </c>
      <c r="Y20" s="2">
        <v>1083228</v>
      </c>
      <c r="Z20" s="2">
        <v>267499</v>
      </c>
      <c r="AA20" s="2">
        <v>28414</v>
      </c>
      <c r="AB20" s="2">
        <v>39172</v>
      </c>
      <c r="AC20" s="2">
        <v>18966.669999999998</v>
      </c>
      <c r="AD20" s="2">
        <v>216517.78999999998</v>
      </c>
      <c r="AE20" s="4">
        <f t="shared" si="24"/>
        <v>2.405753222222222E-3</v>
      </c>
      <c r="AF20" s="2">
        <v>69784789.629999995</v>
      </c>
      <c r="AG20" s="5">
        <f t="shared" si="16"/>
        <v>0.91761722064431284</v>
      </c>
      <c r="AH20" s="2">
        <f t="shared" si="7"/>
        <v>67031937.968067057</v>
      </c>
      <c r="AI20" s="2">
        <f t="shared" si="31"/>
        <v>13950000</v>
      </c>
      <c r="AJ20" s="5">
        <f t="shared" si="17"/>
        <v>1</v>
      </c>
      <c r="AK20" s="4">
        <f t="shared" si="0"/>
        <v>0.84043368707593935</v>
      </c>
      <c r="AL20" s="9">
        <v>1170000</v>
      </c>
      <c r="AM20" s="4">
        <f t="shared" si="1"/>
        <v>0.17365688221705933</v>
      </c>
      <c r="AN20" s="4"/>
      <c r="AO20" s="8">
        <f t="shared" si="8"/>
        <v>0.95313859133824019</v>
      </c>
      <c r="AP20" s="8">
        <f t="shared" si="9"/>
        <v>2.8826426443508562E-2</v>
      </c>
      <c r="AQ20" s="8">
        <f t="shared" si="10"/>
        <v>1.3045554866766109E-2</v>
      </c>
      <c r="AR20" s="8">
        <f t="shared" si="11"/>
        <v>3.2215497395793572E-3</v>
      </c>
      <c r="AS20" s="8">
        <f t="shared" si="12"/>
        <v>3.4219609905236225E-4</v>
      </c>
      <c r="AT20" s="8">
        <f t="shared" si="13"/>
        <v>4.7175707721824222E-4</v>
      </c>
    </row>
    <row r="21" spans="1:46" x14ac:dyDescent="0.25">
      <c r="A21">
        <f t="shared" si="14"/>
        <v>17</v>
      </c>
      <c r="B21" s="3">
        <v>39692</v>
      </c>
      <c r="C21" s="4">
        <v>6.7500000000000004E-2</v>
      </c>
      <c r="D21">
        <v>3281</v>
      </c>
      <c r="E21" s="2">
        <v>82609984.780000001</v>
      </c>
      <c r="F21" s="2"/>
      <c r="G21" s="5">
        <f t="shared" si="2"/>
        <v>0.91788871977777775</v>
      </c>
      <c r="H21" s="2">
        <f t="shared" si="3"/>
        <v>277453.48253645201</v>
      </c>
      <c r="I21" s="2"/>
      <c r="J21" s="2"/>
      <c r="K21" s="2"/>
      <c r="L21" s="2"/>
      <c r="M21" s="2"/>
      <c r="N21" s="2"/>
      <c r="O21" s="2"/>
      <c r="P21" s="36">
        <f t="shared" si="4"/>
        <v>11</v>
      </c>
      <c r="Q21" s="6">
        <f t="shared" si="5"/>
        <v>3.3414337788578372E-3</v>
      </c>
      <c r="R21" s="6">
        <f t="shared" si="15"/>
        <v>3.9368449803394601E-2</v>
      </c>
      <c r="S21" s="6">
        <f t="shared" si="18"/>
        <v>5.410163872025172E-2</v>
      </c>
      <c r="T21" s="6">
        <f t="shared" si="20"/>
        <v>5.0938136045201012E-2</v>
      </c>
      <c r="U21" s="6">
        <f t="shared" si="28"/>
        <v>4.0516383252569017E-2</v>
      </c>
      <c r="V21" s="2"/>
      <c r="W21" s="2">
        <v>78250808</v>
      </c>
      <c r="X21" s="2">
        <v>2870531</v>
      </c>
      <c r="Y21" s="2">
        <v>1048058</v>
      </c>
      <c r="Z21" s="2">
        <v>214996</v>
      </c>
      <c r="AA21" s="2">
        <v>107211</v>
      </c>
      <c r="AB21" s="2">
        <v>15518</v>
      </c>
      <c r="AC21" s="2">
        <v>23653.74</v>
      </c>
      <c r="AD21" s="2">
        <v>240171.52999999997</v>
      </c>
      <c r="AE21" s="4">
        <f t="shared" si="24"/>
        <v>2.6685725555555553E-3</v>
      </c>
      <c r="AF21" s="2">
        <v>69549555.209999993</v>
      </c>
      <c r="AG21" s="5">
        <f t="shared" si="16"/>
        <v>0.91452406587771196</v>
      </c>
      <c r="AH21" s="2">
        <f t="shared" si="7"/>
        <v>66805983.012366861</v>
      </c>
      <c r="AI21" s="2">
        <f t="shared" si="31"/>
        <v>13950000</v>
      </c>
      <c r="AJ21" s="5">
        <f t="shared" si="17"/>
        <v>1</v>
      </c>
      <c r="AK21" s="4">
        <f t="shared" si="0"/>
        <v>0.8419025302476274</v>
      </c>
      <c r="AL21" s="9">
        <v>1170000</v>
      </c>
      <c r="AM21" s="4">
        <f t="shared" si="1"/>
        <v>0.17226040663119957</v>
      </c>
      <c r="AN21" s="4"/>
      <c r="AO21" s="8">
        <f t="shared" si="8"/>
        <v>0.94723184138565097</v>
      </c>
      <c r="AP21" s="8">
        <f t="shared" si="9"/>
        <v>3.4747990907449719E-2</v>
      </c>
      <c r="AQ21" s="8">
        <f t="shared" si="10"/>
        <v>1.2686819913974084E-2</v>
      </c>
      <c r="AR21" s="8">
        <f t="shared" si="11"/>
        <v>2.6025425446156341E-3</v>
      </c>
      <c r="AS21" s="8">
        <f t="shared" si="12"/>
        <v>1.297797115996515E-3</v>
      </c>
      <c r="AT21" s="8">
        <f t="shared" si="13"/>
        <v>1.8784654229541669E-4</v>
      </c>
    </row>
    <row r="22" spans="1:46" x14ac:dyDescent="0.25">
      <c r="A22">
        <f t="shared" si="14"/>
        <v>18</v>
      </c>
      <c r="B22" s="3">
        <v>39722</v>
      </c>
      <c r="C22" s="4">
        <v>6.7500000000000004E-2</v>
      </c>
      <c r="D22">
        <v>3273</v>
      </c>
      <c r="E22" s="2">
        <v>82245448.060000002</v>
      </c>
      <c r="F22" s="2"/>
      <c r="G22" s="5">
        <f t="shared" si="2"/>
        <v>0.91383831177777786</v>
      </c>
      <c r="H22" s="2">
        <f t="shared" si="3"/>
        <v>201426.35728131668</v>
      </c>
      <c r="I22" s="2"/>
      <c r="J22" s="2"/>
      <c r="K22" s="2"/>
      <c r="L22" s="2"/>
      <c r="M22" s="2"/>
      <c r="N22" s="2"/>
      <c r="O22" s="2"/>
      <c r="P22" s="36">
        <f t="shared" si="4"/>
        <v>8</v>
      </c>
      <c r="Q22" s="6">
        <f t="shared" si="5"/>
        <v>2.4382810118866202E-3</v>
      </c>
      <c r="R22" s="6">
        <f t="shared" si="15"/>
        <v>2.8870159713996535E-2</v>
      </c>
      <c r="S22" s="6">
        <f t="shared" si="18"/>
        <v>4.4989218593810963E-2</v>
      </c>
      <c r="T22" s="6">
        <f t="shared" si="20"/>
        <v>4.5930405832991551E-2</v>
      </c>
      <c r="U22" s="6">
        <f t="shared" si="28"/>
        <v>4.2049256634263781E-2</v>
      </c>
      <c r="V22" s="2"/>
      <c r="W22" s="2">
        <v>77732495</v>
      </c>
      <c r="X22" s="2">
        <v>2861842</v>
      </c>
      <c r="Y22" s="2">
        <v>1300856</v>
      </c>
      <c r="Z22" s="2">
        <v>112177</v>
      </c>
      <c r="AA22" s="2">
        <v>70015</v>
      </c>
      <c r="AB22" s="2">
        <v>22863</v>
      </c>
      <c r="AC22" s="2">
        <v>42337.02</v>
      </c>
      <c r="AD22" s="2">
        <v>282508.55</v>
      </c>
      <c r="AE22" s="4">
        <f t="shared" si="24"/>
        <v>3.1389838888888888E-3</v>
      </c>
      <c r="AF22" s="2">
        <v>69370515.180000007</v>
      </c>
      <c r="AG22" s="5">
        <f t="shared" si="16"/>
        <v>0.9121698248520711</v>
      </c>
      <c r="AH22" s="2">
        <f t="shared" si="7"/>
        <v>66634005.705443792</v>
      </c>
      <c r="AI22" s="2">
        <f t="shared" si="31"/>
        <v>13950000</v>
      </c>
      <c r="AJ22" s="5">
        <f t="shared" si="17"/>
        <v>1</v>
      </c>
      <c r="AK22" s="4">
        <f t="shared" si="0"/>
        <v>0.84345719813444964</v>
      </c>
      <c r="AL22" s="9">
        <v>1170000</v>
      </c>
      <c r="AM22" s="4">
        <f t="shared" si="1"/>
        <v>0.1707685131674872</v>
      </c>
      <c r="AN22" s="4"/>
      <c r="AO22" s="8">
        <f t="shared" si="8"/>
        <v>0.94512823303354498</v>
      </c>
      <c r="AP22" s="8">
        <f t="shared" si="9"/>
        <v>3.4796357336544854E-2</v>
      </c>
      <c r="AQ22" s="8">
        <f t="shared" si="10"/>
        <v>1.5816753761873786E-2</v>
      </c>
      <c r="AR22" s="8">
        <f t="shared" si="11"/>
        <v>1.3639295869379206E-3</v>
      </c>
      <c r="AS22" s="8">
        <f t="shared" si="12"/>
        <v>8.5129331350863814E-4</v>
      </c>
      <c r="AT22" s="8">
        <f t="shared" si="13"/>
        <v>2.7798498931297573E-4</v>
      </c>
    </row>
    <row r="23" spans="1:46" x14ac:dyDescent="0.25">
      <c r="A23">
        <f t="shared" si="14"/>
        <v>19</v>
      </c>
      <c r="B23" s="3">
        <v>39753</v>
      </c>
      <c r="C23" s="4">
        <v>6.5000000000000002E-2</v>
      </c>
      <c r="D23">
        <v>3265</v>
      </c>
      <c r="E23" s="2">
        <v>81789253.739999995</v>
      </c>
      <c r="F23" s="2"/>
      <c r="G23" s="5">
        <f t="shared" si="2"/>
        <v>0.90876948599999996</v>
      </c>
      <c r="H23" s="2">
        <f t="shared" si="3"/>
        <v>201027.67628475407</v>
      </c>
      <c r="I23" s="2"/>
      <c r="J23" s="2"/>
      <c r="K23" s="2"/>
      <c r="L23" s="2"/>
      <c r="M23" s="2"/>
      <c r="N23" s="2"/>
      <c r="O23" s="2"/>
      <c r="P23" s="36">
        <f t="shared" si="4"/>
        <v>8</v>
      </c>
      <c r="Q23" s="6">
        <f t="shared" si="5"/>
        <v>2.4442407577146353E-3</v>
      </c>
      <c r="R23" s="6">
        <f t="shared" si="15"/>
        <v>2.8939779428528434E-2</v>
      </c>
      <c r="S23" s="6">
        <f t="shared" si="18"/>
        <v>3.2392796315306525E-2</v>
      </c>
      <c r="T23" s="6">
        <f t="shared" si="20"/>
        <v>4.430574080782268E-2</v>
      </c>
      <c r="U23" s="6">
        <f t="shared" ref="U23:U69" si="32">AVERAGE(R12:R23)</f>
        <v>4.0175541262858543E-2</v>
      </c>
      <c r="V23" s="2"/>
      <c r="W23" s="2">
        <v>77520820</v>
      </c>
      <c r="X23" s="2">
        <v>2701794</v>
      </c>
      <c r="Y23" s="2">
        <v>1217431</v>
      </c>
      <c r="Z23" s="2">
        <v>112936</v>
      </c>
      <c r="AA23" s="2">
        <v>88207</v>
      </c>
      <c r="AB23" s="2">
        <v>18384</v>
      </c>
      <c r="AC23" s="2">
        <v>0</v>
      </c>
      <c r="AD23" s="2">
        <v>282508.55</v>
      </c>
      <c r="AE23" s="4">
        <f t="shared" si="24"/>
        <v>3.1389838888888888E-3</v>
      </c>
      <c r="AF23" s="2">
        <v>69140808.599999994</v>
      </c>
      <c r="AG23" s="5">
        <f t="shared" si="16"/>
        <v>0.9091493570019723</v>
      </c>
      <c r="AH23" s="2">
        <f t="shared" si="7"/>
        <v>66413360.528994076</v>
      </c>
      <c r="AI23" s="2">
        <f t="shared" si="31"/>
        <v>13950000</v>
      </c>
      <c r="AJ23" s="5">
        <f t="shared" si="17"/>
        <v>1</v>
      </c>
      <c r="AK23" s="4">
        <f t="shared" si="0"/>
        <v>0.8453532149809293</v>
      </c>
      <c r="AL23" s="9">
        <v>1170000</v>
      </c>
      <c r="AM23" s="4">
        <f t="shared" si="1"/>
        <v>0.16895184279254438</v>
      </c>
      <c r="AN23" s="4"/>
      <c r="AO23" s="8">
        <f t="shared" si="8"/>
        <v>0.94781180234791085</v>
      </c>
      <c r="AP23" s="8">
        <f t="shared" si="9"/>
        <v>3.3033606206858641E-2</v>
      </c>
      <c r="AQ23" s="8">
        <f t="shared" si="10"/>
        <v>1.4884975034374241E-2</v>
      </c>
      <c r="AR23" s="8">
        <f t="shared" si="11"/>
        <v>1.3808170980384837E-3</v>
      </c>
      <c r="AS23" s="8">
        <f t="shared" si="12"/>
        <v>1.0784668641237562E-3</v>
      </c>
      <c r="AT23" s="8">
        <f t="shared" si="13"/>
        <v>2.2477280522012011E-4</v>
      </c>
    </row>
    <row r="24" spans="1:46" x14ac:dyDescent="0.25">
      <c r="A24">
        <f t="shared" si="14"/>
        <v>20</v>
      </c>
      <c r="B24" s="3">
        <v>39783</v>
      </c>
      <c r="C24" s="4">
        <v>6.5000000000000002E-2</v>
      </c>
      <c r="D24">
        <v>3256</v>
      </c>
      <c r="E24" s="2">
        <v>81441156.409999996</v>
      </c>
      <c r="F24" s="2"/>
      <c r="G24" s="5">
        <f t="shared" si="2"/>
        <v>0.90490173788888884</v>
      </c>
      <c r="H24" s="2">
        <f t="shared" si="3"/>
        <v>225452.76681776415</v>
      </c>
      <c r="I24" s="2"/>
      <c r="J24" s="2"/>
      <c r="K24" s="2"/>
      <c r="L24" s="2"/>
      <c r="M24" s="2"/>
      <c r="N24" s="2"/>
      <c r="O24" s="2"/>
      <c r="P24" s="36">
        <f t="shared" si="4"/>
        <v>9</v>
      </c>
      <c r="Q24" s="6">
        <f t="shared" si="5"/>
        <v>2.7565084226646246E-3</v>
      </c>
      <c r="R24" s="6">
        <f t="shared" si="15"/>
        <v>3.2581190140362537E-2</v>
      </c>
      <c r="S24" s="6">
        <f t="shared" si="18"/>
        <v>3.0130376427629169E-2</v>
      </c>
      <c r="T24" s="6">
        <f t="shared" si="20"/>
        <v>4.2116007573940441E-2</v>
      </c>
      <c r="U24" s="6">
        <f t="shared" si="32"/>
        <v>4.0856154045014748E-2</v>
      </c>
      <c r="V24" s="2"/>
      <c r="W24" s="2">
        <v>76840444</v>
      </c>
      <c r="X24" s="2">
        <v>2900238</v>
      </c>
      <c r="Y24" s="2">
        <v>1186887</v>
      </c>
      <c r="Z24" s="2">
        <v>223367</v>
      </c>
      <c r="AA24" s="2">
        <v>48466</v>
      </c>
      <c r="AB24" s="2">
        <v>93690</v>
      </c>
      <c r="AC24" s="2">
        <v>18383.84</v>
      </c>
      <c r="AD24" s="2">
        <v>300892.39</v>
      </c>
      <c r="AE24" s="4">
        <f t="shared" si="24"/>
        <v>3.343248777777778E-3</v>
      </c>
      <c r="AF24" s="2">
        <v>68937412.200000003</v>
      </c>
      <c r="AG24" s="5">
        <f t="shared" si="16"/>
        <v>0.9064748481262328</v>
      </c>
      <c r="AH24" s="2">
        <f t="shared" si="7"/>
        <v>66217987.655621305</v>
      </c>
      <c r="AI24" s="2">
        <f t="shared" si="31"/>
        <v>13950000</v>
      </c>
      <c r="AJ24" s="5">
        <f t="shared" si="17"/>
        <v>1</v>
      </c>
      <c r="AK24" s="4">
        <f t="shared" si="0"/>
        <v>0.84646897513276609</v>
      </c>
      <c r="AL24" s="9">
        <v>1170000</v>
      </c>
      <c r="AM24" s="4">
        <f t="shared" si="1"/>
        <v>0.16789722558901465</v>
      </c>
      <c r="AN24" s="4"/>
      <c r="AO24" s="8">
        <f t="shared" si="8"/>
        <v>0.94350875389295086</v>
      </c>
      <c r="AP24" s="8">
        <f t="shared" si="9"/>
        <v>3.5611454058919592E-2</v>
      </c>
      <c r="AQ24" s="8">
        <f t="shared" si="10"/>
        <v>1.4573552885531775E-2</v>
      </c>
      <c r="AR24" s="8">
        <f t="shared" si="11"/>
        <v>2.7426796210444429E-3</v>
      </c>
      <c r="AS24" s="8">
        <f t="shared" si="12"/>
        <v>5.951045163947225E-4</v>
      </c>
      <c r="AT24" s="8">
        <f t="shared" si="13"/>
        <v>1.150401150105673E-3</v>
      </c>
    </row>
    <row r="25" spans="1:46" x14ac:dyDescent="0.25">
      <c r="A25">
        <f t="shared" si="14"/>
        <v>21</v>
      </c>
      <c r="B25" s="3">
        <v>39814</v>
      </c>
      <c r="C25" s="4">
        <v>6.5000000000000002E-2</v>
      </c>
      <c r="D25">
        <v>3253</v>
      </c>
      <c r="E25" s="2">
        <v>81173223.549999997</v>
      </c>
      <c r="F25" s="2"/>
      <c r="G25" s="5">
        <f t="shared" si="2"/>
        <v>0.90192470611111109</v>
      </c>
      <c r="H25" s="2">
        <f t="shared" si="3"/>
        <v>75037.92052518428</v>
      </c>
      <c r="I25" s="2"/>
      <c r="J25" s="2"/>
      <c r="K25" s="2"/>
      <c r="L25" s="2"/>
      <c r="M25" s="2"/>
      <c r="N25" s="2"/>
      <c r="O25" s="2"/>
      <c r="P25" s="36">
        <f t="shared" si="4"/>
        <v>3</v>
      </c>
      <c r="Q25" s="6">
        <f t="shared" si="5"/>
        <v>9.2137592137592152E-4</v>
      </c>
      <c r="R25" s="6">
        <f t="shared" si="15"/>
        <v>1.1000653164587204E-2</v>
      </c>
      <c r="S25" s="6">
        <f t="shared" si="18"/>
        <v>2.4173874244492726E-2</v>
      </c>
      <c r="T25" s="6">
        <f t="shared" si="20"/>
        <v>3.4581546419151843E-2</v>
      </c>
      <c r="U25" s="6">
        <f t="shared" si="32"/>
        <v>3.8589936062611484E-2</v>
      </c>
      <c r="V25" s="2"/>
      <c r="W25" s="2">
        <v>76986690</v>
      </c>
      <c r="X25" s="2">
        <v>2893281</v>
      </c>
      <c r="Y25" s="2">
        <v>937053</v>
      </c>
      <c r="Z25" s="2">
        <v>48592</v>
      </c>
      <c r="AA25" s="2">
        <v>77839</v>
      </c>
      <c r="AB25" s="2">
        <v>48129</v>
      </c>
      <c r="AC25" s="2">
        <v>52541.88</v>
      </c>
      <c r="AD25" s="2">
        <v>353434.27</v>
      </c>
      <c r="AE25" s="4">
        <f t="shared" si="24"/>
        <v>3.9270474444444443E-3</v>
      </c>
      <c r="AF25" s="2">
        <v>68876094.659999996</v>
      </c>
      <c r="AG25" s="5">
        <f t="shared" si="16"/>
        <v>0.90566856883629188</v>
      </c>
      <c r="AH25" s="2">
        <f t="shared" si="7"/>
        <v>66159088.953491122</v>
      </c>
      <c r="AI25" s="2">
        <f t="shared" si="31"/>
        <v>13950000</v>
      </c>
      <c r="AJ25" s="5">
        <f t="shared" si="17"/>
        <v>1</v>
      </c>
      <c r="AK25" s="4">
        <f t="shared" si="0"/>
        <v>0.84850756995716226</v>
      </c>
      <c r="AL25" s="9">
        <v>1170000</v>
      </c>
      <c r="AM25" s="4">
        <f t="shared" si="1"/>
        <v>0.16590605006224368</v>
      </c>
      <c r="AN25" s="4"/>
      <c r="AO25" s="8">
        <f t="shared" si="8"/>
        <v>0.94842469761692738</v>
      </c>
      <c r="AP25" s="8">
        <f t="shared" si="9"/>
        <v>3.5643293113988943E-2</v>
      </c>
      <c r="AQ25" s="8">
        <f t="shared" si="10"/>
        <v>1.154386827354228E-2</v>
      </c>
      <c r="AR25" s="8">
        <f t="shared" si="11"/>
        <v>5.9862104613929673E-4</v>
      </c>
      <c r="AS25" s="8">
        <f t="shared" si="12"/>
        <v>9.5892458862439748E-4</v>
      </c>
      <c r="AT25" s="8">
        <f t="shared" si="13"/>
        <v>5.9291719479828394E-4</v>
      </c>
    </row>
    <row r="26" spans="1:46" x14ac:dyDescent="0.25">
      <c r="A26">
        <f t="shared" si="14"/>
        <v>22</v>
      </c>
      <c r="B26" s="3">
        <v>39845</v>
      </c>
      <c r="C26" s="4">
        <v>6.5000000000000002E-2</v>
      </c>
      <c r="D26">
        <v>3248</v>
      </c>
      <c r="E26" s="2">
        <v>80892619.359999999</v>
      </c>
      <c r="F26" s="2"/>
      <c r="G26" s="5">
        <f t="shared" si="2"/>
        <v>0.89880688177777779</v>
      </c>
      <c r="H26" s="2">
        <f t="shared" si="3"/>
        <v>124766.7131109745</v>
      </c>
      <c r="I26" s="2"/>
      <c r="J26" s="2"/>
      <c r="K26" s="2"/>
      <c r="L26" s="2"/>
      <c r="M26" s="2"/>
      <c r="N26" s="2"/>
      <c r="O26" s="2"/>
      <c r="P26" s="36">
        <f t="shared" si="4"/>
        <v>5</v>
      </c>
      <c r="Q26" s="6">
        <f t="shared" si="5"/>
        <v>1.5370427297878883E-3</v>
      </c>
      <c r="R26" s="6">
        <f t="shared" si="15"/>
        <v>1.828938385620793E-2</v>
      </c>
      <c r="S26" s="6">
        <f t="shared" si="18"/>
        <v>2.0623742387052557E-2</v>
      </c>
      <c r="T26" s="6">
        <f t="shared" si="20"/>
        <v>2.6508269351179541E-2</v>
      </c>
      <c r="U26" s="6">
        <f t="shared" si="32"/>
        <v>3.8068866070033812E-2</v>
      </c>
      <c r="V26" s="2"/>
      <c r="W26" s="2">
        <v>76397808</v>
      </c>
      <c r="X26" s="2">
        <v>2880909</v>
      </c>
      <c r="Y26" s="2">
        <v>1031727</v>
      </c>
      <c r="Z26" s="2">
        <v>229484</v>
      </c>
      <c r="AA26" s="2">
        <v>103007</v>
      </c>
      <c r="AB26" s="2">
        <v>19915</v>
      </c>
      <c r="AC26" s="2">
        <v>48129.3</v>
      </c>
      <c r="AD26" s="2">
        <v>401563.57</v>
      </c>
      <c r="AE26" s="4">
        <f t="shared" si="24"/>
        <v>4.4618174444444447E-3</v>
      </c>
      <c r="AF26" s="2">
        <v>68755759.599999994</v>
      </c>
      <c r="AG26" s="5">
        <f t="shared" si="16"/>
        <v>0.90408625378040752</v>
      </c>
      <c r="AH26" s="2">
        <f t="shared" si="7"/>
        <v>66043500.838658772</v>
      </c>
      <c r="AI26" s="2">
        <f t="shared" si="31"/>
        <v>13950000</v>
      </c>
      <c r="AJ26" s="5">
        <f t="shared" si="17"/>
        <v>1</v>
      </c>
      <c r="AK26" s="4">
        <f t="shared" si="0"/>
        <v>0.84996332352662729</v>
      </c>
      <c r="AL26" s="9">
        <v>1170000</v>
      </c>
      <c r="AM26" s="4">
        <f t="shared" si="1"/>
        <v>0.16450029514781683</v>
      </c>
      <c r="AN26" s="4"/>
      <c r="AO26" s="8">
        <f t="shared" si="8"/>
        <v>0.94443483972256426</v>
      </c>
      <c r="AP26" s="8">
        <f t="shared" si="9"/>
        <v>3.5613990779294259E-2</v>
      </c>
      <c r="AQ26" s="8">
        <f t="shared" si="10"/>
        <v>1.2754278550536974E-2</v>
      </c>
      <c r="AR26" s="8">
        <f t="shared" si="11"/>
        <v>2.836896639218928E-3</v>
      </c>
      <c r="AS26" s="8">
        <f t="shared" si="12"/>
        <v>1.2733794605115133E-3</v>
      </c>
      <c r="AT26" s="8">
        <f t="shared" si="13"/>
        <v>2.4619056914662878E-4</v>
      </c>
    </row>
    <row r="27" spans="1:46" x14ac:dyDescent="0.25">
      <c r="A27">
        <f t="shared" si="14"/>
        <v>23</v>
      </c>
      <c r="B27" s="3">
        <v>39873</v>
      </c>
      <c r="C27" s="4">
        <v>6.5000000000000002E-2</v>
      </c>
      <c r="D27">
        <v>3244</v>
      </c>
      <c r="E27" s="2">
        <v>80623331.170000002</v>
      </c>
      <c r="F27" s="2"/>
      <c r="G27" s="5">
        <f t="shared" si="2"/>
        <v>0.89581479077777781</v>
      </c>
      <c r="H27" s="2">
        <f t="shared" si="3"/>
        <v>99621.4524137931</v>
      </c>
      <c r="I27" s="2"/>
      <c r="J27" s="2"/>
      <c r="K27" s="2"/>
      <c r="L27" s="2"/>
      <c r="M27" s="2"/>
      <c r="N27" s="2"/>
      <c r="O27" s="2"/>
      <c r="P27" s="36">
        <f t="shared" si="4"/>
        <v>4</v>
      </c>
      <c r="Q27" s="6">
        <f t="shared" si="5"/>
        <v>1.2315270935960591E-3</v>
      </c>
      <c r="R27" s="6">
        <f t="shared" si="15"/>
        <v>1.4678635411396135E-2</v>
      </c>
      <c r="S27" s="6">
        <f t="shared" si="18"/>
        <v>1.4656224144063756E-2</v>
      </c>
      <c r="T27" s="6">
        <f t="shared" si="20"/>
        <v>2.2393300285846462E-2</v>
      </c>
      <c r="U27" s="6">
        <f t="shared" si="32"/>
        <v>3.666571816552374E-2</v>
      </c>
      <c r="V27" s="2"/>
      <c r="W27" s="2">
        <v>76067666</v>
      </c>
      <c r="X27" s="2">
        <v>2802287</v>
      </c>
      <c r="Y27" s="2">
        <v>1188350</v>
      </c>
      <c r="Z27" s="2">
        <v>292520</v>
      </c>
      <c r="AA27" s="2">
        <v>94064</v>
      </c>
      <c r="AB27" s="2">
        <v>23862</v>
      </c>
      <c r="AC27" s="2">
        <v>0</v>
      </c>
      <c r="AD27" s="2">
        <v>401563.57</v>
      </c>
      <c r="AE27" s="4">
        <f t="shared" si="24"/>
        <v>4.4618174444444447E-3</v>
      </c>
      <c r="AF27" s="2">
        <v>68650035.400000006</v>
      </c>
      <c r="AG27" s="5">
        <f t="shared" si="16"/>
        <v>0.90269606048652207</v>
      </c>
      <c r="AH27" s="2">
        <f t="shared" si="7"/>
        <v>65941947.218540438</v>
      </c>
      <c r="AI27" s="2">
        <f t="shared" si="31"/>
        <v>13950000</v>
      </c>
      <c r="AJ27" s="5">
        <f t="shared" si="17"/>
        <v>1</v>
      </c>
      <c r="AK27" s="4">
        <f t="shared" si="0"/>
        <v>0.85149093201379322</v>
      </c>
      <c r="AL27" s="9">
        <v>1170000</v>
      </c>
      <c r="AM27" s="4">
        <f t="shared" si="1"/>
        <v>0.16302099627074984</v>
      </c>
      <c r="AN27" s="4"/>
      <c r="AO27" s="8">
        <f t="shared" si="8"/>
        <v>0.94349445620903383</v>
      </c>
      <c r="AP27" s="8">
        <f t="shared" si="9"/>
        <v>3.4757767501459091E-2</v>
      </c>
      <c r="AQ27" s="8">
        <f t="shared" si="10"/>
        <v>1.4739529894817666E-2</v>
      </c>
      <c r="AR27" s="8">
        <f t="shared" si="11"/>
        <v>3.6282301382859123E-3</v>
      </c>
      <c r="AS27" s="8">
        <f t="shared" si="12"/>
        <v>1.1667094206472242E-3</v>
      </c>
      <c r="AT27" s="8">
        <f t="shared" si="13"/>
        <v>2.9596891685962817E-4</v>
      </c>
    </row>
    <row r="28" spans="1:46" x14ac:dyDescent="0.25">
      <c r="A28">
        <f t="shared" si="14"/>
        <v>24</v>
      </c>
      <c r="B28" s="3">
        <v>39904</v>
      </c>
      <c r="C28" s="4">
        <v>6.5000000000000002E-2</v>
      </c>
      <c r="D28">
        <v>3243</v>
      </c>
      <c r="E28" s="2">
        <v>80370804.75</v>
      </c>
      <c r="F28" s="2"/>
      <c r="G28" s="5">
        <f t="shared" si="2"/>
        <v>0.89300894166666667</v>
      </c>
      <c r="H28" s="2">
        <f t="shared" si="3"/>
        <v>24853.061396424167</v>
      </c>
      <c r="I28" s="2"/>
      <c r="J28" s="2"/>
      <c r="K28" s="2"/>
      <c r="L28" s="2"/>
      <c r="M28" s="2"/>
      <c r="N28" s="2"/>
      <c r="O28" s="2"/>
      <c r="P28" s="36">
        <f t="shared" si="4"/>
        <v>1</v>
      </c>
      <c r="Q28" s="6">
        <f t="shared" si="5"/>
        <v>3.0826140567200987E-4</v>
      </c>
      <c r="R28" s="6">
        <f t="shared" si="15"/>
        <v>3.6928716517423688E-3</v>
      </c>
      <c r="S28" s="6">
        <f t="shared" si="18"/>
        <v>1.2220296973115477E-2</v>
      </c>
      <c r="T28" s="6">
        <f t="shared" si="20"/>
        <v>1.8197085608804103E-2</v>
      </c>
      <c r="U28" s="6">
        <f t="shared" si="32"/>
        <v>3.2063745720897825E-2</v>
      </c>
      <c r="V28" s="2"/>
      <c r="W28" s="2">
        <v>75889224</v>
      </c>
      <c r="X28" s="2">
        <v>3221724</v>
      </c>
      <c r="Y28" s="2">
        <v>989999</v>
      </c>
      <c r="Z28" s="2">
        <v>25206</v>
      </c>
      <c r="AA28" s="2">
        <v>77573</v>
      </c>
      <c r="AB28" s="2">
        <v>27734</v>
      </c>
      <c r="AC28" s="2">
        <v>23862.12</v>
      </c>
      <c r="AD28" s="2">
        <v>425425.69</v>
      </c>
      <c r="AE28" s="4">
        <f t="shared" si="24"/>
        <v>4.7269521111111112E-3</v>
      </c>
      <c r="AF28" s="2">
        <v>68598033.109999999</v>
      </c>
      <c r="AG28" s="5">
        <f t="shared" si="16"/>
        <v>0.9020122696909928</v>
      </c>
      <c r="AH28" s="2">
        <f t="shared" si="7"/>
        <v>65891996.300927021</v>
      </c>
      <c r="AI28" s="2">
        <f t="shared" si="31"/>
        <v>13950000</v>
      </c>
      <c r="AJ28" s="5">
        <f t="shared" si="17"/>
        <v>1</v>
      </c>
      <c r="AK28" s="4">
        <f t="shared" si="0"/>
        <v>0.85351930123606234</v>
      </c>
      <c r="AL28" s="9">
        <v>1170000</v>
      </c>
      <c r="AM28" s="4">
        <f t="shared" si="1"/>
        <v>0.16103822377117605</v>
      </c>
      <c r="AN28" s="4"/>
      <c r="AO28" s="8">
        <f t="shared" si="8"/>
        <v>0.94423869757257839</v>
      </c>
      <c r="AP28" s="8">
        <f t="shared" si="9"/>
        <v>4.0085750167880456E-2</v>
      </c>
      <c r="AQ28" s="8">
        <f t="shared" si="10"/>
        <v>1.2317893333026506E-2</v>
      </c>
      <c r="AR28" s="8">
        <f t="shared" si="11"/>
        <v>3.1362134643799248E-4</v>
      </c>
      <c r="AS28" s="8">
        <f t="shared" si="12"/>
        <v>9.6518879263803817E-4</v>
      </c>
      <c r="AT28" s="8">
        <f t="shared" si="13"/>
        <v>3.4507555431688024E-4</v>
      </c>
    </row>
    <row r="29" spans="1:46" x14ac:dyDescent="0.25">
      <c r="A29">
        <f t="shared" si="14"/>
        <v>25</v>
      </c>
      <c r="B29" s="3">
        <v>39934</v>
      </c>
      <c r="C29" s="4">
        <v>6.7500000000000004E-2</v>
      </c>
      <c r="D29">
        <v>3237</v>
      </c>
      <c r="E29" s="2">
        <v>80072365.170000002</v>
      </c>
      <c r="F29" s="2"/>
      <c r="G29" s="5">
        <f t="shared" si="2"/>
        <v>0.8896929463333334</v>
      </c>
      <c r="H29" s="2">
        <f t="shared" si="3"/>
        <v>148697.14107308048</v>
      </c>
      <c r="I29" s="2"/>
      <c r="J29" s="2"/>
      <c r="K29" s="2"/>
      <c r="L29" s="2"/>
      <c r="M29" s="2"/>
      <c r="N29" s="2"/>
      <c r="O29" s="2"/>
      <c r="P29" s="36">
        <f t="shared" si="4"/>
        <v>6</v>
      </c>
      <c r="Q29" s="6">
        <f t="shared" si="5"/>
        <v>1.8501387604070304E-3</v>
      </c>
      <c r="R29" s="6">
        <f t="shared" si="15"/>
        <v>2.197713372649146E-2</v>
      </c>
      <c r="S29" s="6">
        <f t="shared" si="18"/>
        <v>1.3449546929876655E-2</v>
      </c>
      <c r="T29" s="6">
        <f t="shared" si="20"/>
        <v>1.7036644658464606E-2</v>
      </c>
      <c r="U29" s="6">
        <f t="shared" si="32"/>
        <v>3.0671192733143643E-2</v>
      </c>
      <c r="V29" s="2"/>
      <c r="W29" s="2">
        <v>75706866</v>
      </c>
      <c r="X29" s="2">
        <v>2732907</v>
      </c>
      <c r="Y29" s="2">
        <v>1164976</v>
      </c>
      <c r="Z29" s="2">
        <v>206609</v>
      </c>
      <c r="AA29" s="2">
        <v>53170</v>
      </c>
      <c r="AB29" s="2">
        <v>40758</v>
      </c>
      <c r="AC29" s="2">
        <v>27733.759999999998</v>
      </c>
      <c r="AD29" s="2">
        <v>453159.45</v>
      </c>
      <c r="AE29" s="4">
        <f t="shared" si="24"/>
        <v>5.0351049999999998E-3</v>
      </c>
      <c r="AF29" s="2">
        <v>68479299.510000005</v>
      </c>
      <c r="AG29" s="5">
        <f t="shared" si="16"/>
        <v>0.90045101262327421</v>
      </c>
      <c r="AH29" s="2">
        <f t="shared" si="7"/>
        <v>65777946.472130187</v>
      </c>
      <c r="AI29" s="2">
        <f t="shared" si="31"/>
        <v>13950000</v>
      </c>
      <c r="AJ29" s="5">
        <f t="shared" si="17"/>
        <v>1</v>
      </c>
      <c r="AK29" s="4">
        <f t="shared" si="0"/>
        <v>0.85521764424733804</v>
      </c>
      <c r="AL29" s="9">
        <v>1170000</v>
      </c>
      <c r="AM29" s="4">
        <f t="shared" si="1"/>
        <v>0.15939413845092487</v>
      </c>
      <c r="AN29" s="4"/>
      <c r="AO29" s="8">
        <f t="shared" si="8"/>
        <v>0.94548057671667751</v>
      </c>
      <c r="AP29" s="8">
        <f t="shared" si="9"/>
        <v>3.4130464289369007E-2</v>
      </c>
      <c r="AQ29" s="8">
        <f t="shared" si="10"/>
        <v>1.454903945358256E-2</v>
      </c>
      <c r="AR29" s="8">
        <f t="shared" si="11"/>
        <v>2.5802784713721476E-3</v>
      </c>
      <c r="AS29" s="8">
        <f t="shared" si="12"/>
        <v>6.6402434706550582E-4</v>
      </c>
      <c r="AT29" s="8">
        <f t="shared" si="13"/>
        <v>5.0901456343230929E-4</v>
      </c>
    </row>
    <row r="30" spans="1:46" x14ac:dyDescent="0.25">
      <c r="A30">
        <f t="shared" si="14"/>
        <v>26</v>
      </c>
      <c r="B30" s="3">
        <v>39965</v>
      </c>
      <c r="C30" s="4">
        <v>6.7500000000000004E-2</v>
      </c>
      <c r="D30">
        <v>3228</v>
      </c>
      <c r="E30" s="2">
        <v>79652395.890000001</v>
      </c>
      <c r="F30" s="2"/>
      <c r="G30" s="5">
        <f t="shared" si="2"/>
        <v>0.88502662099999996</v>
      </c>
      <c r="H30" s="2">
        <f t="shared" si="3"/>
        <v>222629.37489341985</v>
      </c>
      <c r="I30" s="2"/>
      <c r="J30" s="2"/>
      <c r="K30" s="2"/>
      <c r="L30" s="2"/>
      <c r="M30" s="2"/>
      <c r="N30" s="2"/>
      <c r="O30" s="2"/>
      <c r="P30" s="36">
        <f t="shared" si="4"/>
        <v>9</v>
      </c>
      <c r="Q30" s="6">
        <f t="shared" si="5"/>
        <v>2.7803521779425394E-3</v>
      </c>
      <c r="R30" s="6">
        <f t="shared" si="15"/>
        <v>3.2858721528681967E-2</v>
      </c>
      <c r="S30" s="6">
        <f t="shared" si="18"/>
        <v>1.9509575635638599E-2</v>
      </c>
      <c r="T30" s="6">
        <f t="shared" si="20"/>
        <v>1.7082899889851177E-2</v>
      </c>
      <c r="U30" s="6">
        <f t="shared" si="32"/>
        <v>2.9599453731895809E-2</v>
      </c>
      <c r="V30" s="2"/>
      <c r="W30" s="2">
        <v>74753075</v>
      </c>
      <c r="X30" s="2">
        <v>3381772</v>
      </c>
      <c r="Y30" s="2">
        <v>1178241</v>
      </c>
      <c r="Z30" s="2">
        <v>110905</v>
      </c>
      <c r="AA30" s="2"/>
      <c r="AB30" s="2">
        <v>19828</v>
      </c>
      <c r="AC30" s="2">
        <v>40758.25</v>
      </c>
      <c r="AD30" s="2">
        <v>493917.7</v>
      </c>
      <c r="AE30" s="4">
        <f t="shared" si="24"/>
        <v>5.4879744444444444E-3</v>
      </c>
      <c r="AF30" s="2">
        <v>68247540.040000007</v>
      </c>
      <c r="AG30" s="5">
        <f t="shared" si="16"/>
        <v>0.89740355082182788</v>
      </c>
      <c r="AH30" s="2">
        <f t="shared" si="7"/>
        <v>65555329.387534522</v>
      </c>
      <c r="AI30" s="2">
        <f t="shared" si="31"/>
        <v>13950000</v>
      </c>
      <c r="AJ30" s="5">
        <f t="shared" si="17"/>
        <v>1</v>
      </c>
      <c r="AK30" s="4">
        <f t="shared" si="0"/>
        <v>0.85681716510134731</v>
      </c>
      <c r="AL30" s="9">
        <v>1070000</v>
      </c>
      <c r="AM30" s="4">
        <f t="shared" si="1"/>
        <v>0.15661620357569372</v>
      </c>
      <c r="AN30" s="4"/>
      <c r="AO30" s="8">
        <f t="shared" si="8"/>
        <v>0.93849123010981406</v>
      </c>
      <c r="AP30" s="8">
        <f t="shared" si="9"/>
        <v>4.245662622214439E-2</v>
      </c>
      <c r="AQ30" s="8">
        <f t="shared" si="10"/>
        <v>1.47922857415005E-2</v>
      </c>
      <c r="AR30" s="8">
        <f t="shared" si="11"/>
        <v>1.392362386100223E-3</v>
      </c>
      <c r="AS30" s="8">
        <f t="shared" si="12"/>
        <v>0</v>
      </c>
      <c r="AT30" s="8">
        <f t="shared" si="13"/>
        <v>2.4893162068071974E-4</v>
      </c>
    </row>
    <row r="31" spans="1:46" x14ac:dyDescent="0.25">
      <c r="A31">
        <f t="shared" si="14"/>
        <v>27</v>
      </c>
      <c r="B31" s="3">
        <v>39995</v>
      </c>
      <c r="C31" s="4">
        <v>6.7500000000000004E-2</v>
      </c>
      <c r="D31">
        <v>3220</v>
      </c>
      <c r="E31" s="2">
        <v>79296371</v>
      </c>
      <c r="F31" s="2"/>
      <c r="G31" s="5">
        <f t="shared" si="2"/>
        <v>0.8810707888888889</v>
      </c>
      <c r="H31" s="2">
        <f t="shared" si="3"/>
        <v>197403.70728624536</v>
      </c>
      <c r="I31" s="2"/>
      <c r="J31" s="2"/>
      <c r="K31" s="2"/>
      <c r="L31" s="2"/>
      <c r="M31" s="2"/>
      <c r="N31" s="2"/>
      <c r="O31" s="2"/>
      <c r="P31" s="36">
        <f t="shared" si="4"/>
        <v>8</v>
      </c>
      <c r="Q31" s="6">
        <f t="shared" si="5"/>
        <v>2.4783147459727386E-3</v>
      </c>
      <c r="R31" s="6">
        <f t="shared" si="15"/>
        <v>2.9337732271086936E-2</v>
      </c>
      <c r="S31" s="6">
        <f t="shared" si="18"/>
        <v>2.8057862508753455E-2</v>
      </c>
      <c r="T31" s="6">
        <f t="shared" si="20"/>
        <v>2.0139079740934467E-2</v>
      </c>
      <c r="U31" s="6">
        <f t="shared" si="32"/>
        <v>2.7360313080043153E-2</v>
      </c>
      <c r="V31" s="2">
        <v>938374</v>
      </c>
      <c r="W31" s="2">
        <v>74644691</v>
      </c>
      <c r="X31" s="2">
        <v>2903401</v>
      </c>
      <c r="Y31" s="2">
        <v>1292254</v>
      </c>
      <c r="Z31" s="2">
        <v>204937</v>
      </c>
      <c r="AA31" s="2">
        <v>47059</v>
      </c>
      <c r="AB31" s="2">
        <v>18523</v>
      </c>
      <c r="AC31" s="2">
        <v>19827.919999999998</v>
      </c>
      <c r="AD31" s="2">
        <v>549729.51</v>
      </c>
      <c r="AE31" s="4">
        <f t="shared" si="24"/>
        <v>6.1081056666666671E-3</v>
      </c>
      <c r="AF31" s="2">
        <v>67142736.510000005</v>
      </c>
      <c r="AG31" s="5">
        <f t="shared" si="16"/>
        <v>0.88287621972386598</v>
      </c>
      <c r="AH31" s="2">
        <f t="shared" si="7"/>
        <v>64494107.850828409</v>
      </c>
      <c r="AI31" s="2">
        <f t="shared" si="31"/>
        <v>13950000</v>
      </c>
      <c r="AJ31" s="5">
        <f t="shared" si="17"/>
        <v>1</v>
      </c>
      <c r="AK31" s="4">
        <f t="shared" si="0"/>
        <v>0.8467315170072538</v>
      </c>
      <c r="AL31" s="9">
        <v>1070000</v>
      </c>
      <c r="AM31" s="4">
        <f t="shared" si="1"/>
        <v>0.16676216481583994</v>
      </c>
      <c r="AN31" s="4"/>
      <c r="AO31" s="8">
        <f t="shared" si="8"/>
        <v>0.94133804685715061</v>
      </c>
      <c r="AP31" s="8">
        <f t="shared" si="9"/>
        <v>3.661455074659091E-2</v>
      </c>
      <c r="AQ31" s="8">
        <f t="shared" si="10"/>
        <v>1.6296508701514223E-2</v>
      </c>
      <c r="AR31" s="8">
        <f t="shared" si="11"/>
        <v>2.5844436184853906E-3</v>
      </c>
      <c r="AS31" s="8">
        <f t="shared" si="12"/>
        <v>5.9345717094670073E-4</v>
      </c>
      <c r="AT31" s="8">
        <f t="shared" si="13"/>
        <v>2.3359202655062235E-4</v>
      </c>
    </row>
    <row r="32" spans="1:46" x14ac:dyDescent="0.25">
      <c r="A32">
        <f t="shared" si="14"/>
        <v>28</v>
      </c>
      <c r="B32" s="3">
        <v>40026</v>
      </c>
      <c r="C32" s="4">
        <v>6.7500000000000004E-2</v>
      </c>
      <c r="D32">
        <v>3211</v>
      </c>
      <c r="E32" s="2">
        <v>78851557.790000007</v>
      </c>
      <c r="F32" s="2"/>
      <c r="G32" s="5">
        <f t="shared" si="2"/>
        <v>0.87612841988888901</v>
      </c>
      <c r="H32" s="2">
        <f t="shared" si="3"/>
        <v>221635.81956521739</v>
      </c>
      <c r="I32" s="2"/>
      <c r="J32" s="2"/>
      <c r="K32" s="2"/>
      <c r="L32" s="2"/>
      <c r="M32" s="2"/>
      <c r="N32" s="2"/>
      <c r="O32" s="2"/>
      <c r="P32" s="36">
        <f t="shared" si="4"/>
        <v>9</v>
      </c>
      <c r="Q32" s="6">
        <f t="shared" si="5"/>
        <v>2.7950310559006213E-3</v>
      </c>
      <c r="R32" s="6">
        <f t="shared" si="15"/>
        <v>3.3029541261866302E-2</v>
      </c>
      <c r="S32" s="6">
        <f t="shared" si="18"/>
        <v>3.1741998353878399E-2</v>
      </c>
      <c r="T32" s="6">
        <f t="shared" si="20"/>
        <v>2.2595772641877527E-2</v>
      </c>
      <c r="U32" s="6">
        <f t="shared" si="32"/>
        <v>2.4552020996528534E-2</v>
      </c>
      <c r="V32" s="2">
        <v>1098770.05</v>
      </c>
      <c r="W32" s="2">
        <v>74299228</v>
      </c>
      <c r="X32" s="2">
        <v>2810360</v>
      </c>
      <c r="Y32" s="2">
        <v>1303981</v>
      </c>
      <c r="Z32" s="2">
        <v>204313</v>
      </c>
      <c r="AA32" s="2">
        <v>29687</v>
      </c>
      <c r="AB32" s="2">
        <v>0</v>
      </c>
      <c r="AC32" s="2">
        <v>18522.599999999999</v>
      </c>
      <c r="AD32" s="2">
        <v>568252.11</v>
      </c>
      <c r="AE32" s="4">
        <f t="shared" si="24"/>
        <v>6.3139123333333328E-3</v>
      </c>
      <c r="AF32" s="2">
        <v>65405140.990000002</v>
      </c>
      <c r="AG32" s="5">
        <f t="shared" si="16"/>
        <v>0.86002815239973707</v>
      </c>
      <c r="AH32" s="2">
        <f t="shared" si="7"/>
        <v>62825056.532800794</v>
      </c>
      <c r="AI32" s="2">
        <f t="shared" si="31"/>
        <v>13950000</v>
      </c>
      <c r="AJ32" s="5">
        <f t="shared" si="17"/>
        <v>1</v>
      </c>
      <c r="AK32" s="4">
        <f t="shared" si="0"/>
        <v>0.82947176724382632</v>
      </c>
      <c r="AL32" s="9">
        <v>1070000</v>
      </c>
      <c r="AM32" s="4">
        <f t="shared" si="1"/>
        <v>0.18409803441880745</v>
      </c>
      <c r="AN32" s="4"/>
      <c r="AO32" s="8">
        <f t="shared" si="8"/>
        <v>0.94226709125869246</v>
      </c>
      <c r="AP32" s="8">
        <f t="shared" si="9"/>
        <v>3.564114747719558E-2</v>
      </c>
      <c r="AQ32" s="8">
        <f t="shared" si="10"/>
        <v>1.6537162188638099E-2</v>
      </c>
      <c r="AR32" s="8">
        <f t="shared" si="11"/>
        <v>2.5911092402782065E-3</v>
      </c>
      <c r="AS32" s="8">
        <f t="shared" si="12"/>
        <v>3.7649224482112792E-4</v>
      </c>
      <c r="AT32" s="8">
        <f t="shared" si="13"/>
        <v>0</v>
      </c>
    </row>
    <row r="33" spans="1:46" x14ac:dyDescent="0.25">
      <c r="A33">
        <f t="shared" si="14"/>
        <v>29</v>
      </c>
      <c r="B33" s="3">
        <v>40057</v>
      </c>
      <c r="C33" s="4">
        <v>6.7500000000000004E-2</v>
      </c>
      <c r="D33">
        <v>3200</v>
      </c>
      <c r="E33" s="2">
        <v>78384141.709999993</v>
      </c>
      <c r="F33" s="2"/>
      <c r="G33" s="5">
        <f t="shared" si="2"/>
        <v>0.87093490788888883</v>
      </c>
      <c r="H33" s="2">
        <f t="shared" si="3"/>
        <v>270123.67975397076</v>
      </c>
      <c r="I33" s="2"/>
      <c r="J33" s="2"/>
      <c r="K33" s="2"/>
      <c r="L33" s="2"/>
      <c r="M33" s="2"/>
      <c r="N33" s="2"/>
      <c r="O33" s="2"/>
      <c r="P33" s="36">
        <f t="shared" si="4"/>
        <v>11</v>
      </c>
      <c r="Q33" s="6">
        <f t="shared" si="5"/>
        <v>3.425724073497353E-3</v>
      </c>
      <c r="R33" s="6">
        <f t="shared" si="15"/>
        <v>4.0342917075608442E-2</v>
      </c>
      <c r="S33" s="6">
        <f t="shared" si="18"/>
        <v>3.4236730202853893E-2</v>
      </c>
      <c r="T33" s="6">
        <f t="shared" si="20"/>
        <v>2.6873152919246246E-2</v>
      </c>
      <c r="U33" s="6">
        <f t="shared" si="32"/>
        <v>2.4633226602546354E-2</v>
      </c>
      <c r="V33" s="2">
        <v>0</v>
      </c>
      <c r="W33" s="2">
        <v>73676989</v>
      </c>
      <c r="X33" s="2">
        <v>3039636</v>
      </c>
      <c r="Y33" s="2">
        <v>1354615</v>
      </c>
      <c r="Z33" s="2">
        <v>138283</v>
      </c>
      <c r="AA33" s="2">
        <v>25070</v>
      </c>
      <c r="AB33" s="2">
        <v>45265</v>
      </c>
      <c r="AC33" s="2">
        <v>0</v>
      </c>
      <c r="AD33" s="2">
        <v>549729.51</v>
      </c>
      <c r="AE33" s="4">
        <f t="shared" si="24"/>
        <v>6.1081056666666671E-3</v>
      </c>
      <c r="AF33" s="2">
        <v>65116353.539999999</v>
      </c>
      <c r="AG33" s="5">
        <f t="shared" si="16"/>
        <v>0.85623081577909266</v>
      </c>
      <c r="AH33" s="2">
        <f t="shared" si="7"/>
        <v>62547661.092662722</v>
      </c>
      <c r="AI33" s="2">
        <f t="shared" si="31"/>
        <v>13950000</v>
      </c>
      <c r="AJ33" s="5">
        <f t="shared" si="17"/>
        <v>1</v>
      </c>
      <c r="AK33" s="4">
        <f t="shared" si="0"/>
        <v>0.83073376986014336</v>
      </c>
      <c r="AL33" s="9">
        <v>1070000</v>
      </c>
      <c r="AM33" s="4">
        <f t="shared" si="1"/>
        <v>0.18291695051080503</v>
      </c>
      <c r="AN33" s="4"/>
      <c r="AO33" s="8">
        <f t="shared" si="8"/>
        <v>0.93994763982470875</v>
      </c>
      <c r="AP33" s="8">
        <f t="shared" si="9"/>
        <v>3.8778711276138307E-2</v>
      </c>
      <c r="AQ33" s="8">
        <f t="shared" si="10"/>
        <v>1.7281748201207675E-2</v>
      </c>
      <c r="AR33" s="8">
        <f t="shared" si="11"/>
        <v>1.7641706215475255E-3</v>
      </c>
      <c r="AS33" s="8">
        <f t="shared" si="12"/>
        <v>3.1983510252306114E-4</v>
      </c>
      <c r="AT33" s="8">
        <f t="shared" si="13"/>
        <v>5.7747650242147438E-4</v>
      </c>
    </row>
    <row r="34" spans="1:46" x14ac:dyDescent="0.25">
      <c r="A34">
        <f t="shared" si="14"/>
        <v>30</v>
      </c>
      <c r="B34" s="3">
        <v>40087</v>
      </c>
      <c r="C34" s="4">
        <v>6.7500000000000004E-2</v>
      </c>
      <c r="D34">
        <v>3192</v>
      </c>
      <c r="E34" s="2">
        <v>78076851.599999994</v>
      </c>
      <c r="F34" s="2"/>
      <c r="G34" s="5">
        <f t="shared" si="2"/>
        <v>0.86752057333333332</v>
      </c>
      <c r="H34" s="2">
        <f t="shared" si="3"/>
        <v>195960.35427499999</v>
      </c>
      <c r="I34" s="2"/>
      <c r="J34" s="2"/>
      <c r="K34" s="2"/>
      <c r="L34" s="2"/>
      <c r="M34" s="2"/>
      <c r="N34" s="2"/>
      <c r="O34" s="2"/>
      <c r="P34" s="36">
        <f t="shared" si="4"/>
        <v>8</v>
      </c>
      <c r="Q34" s="6">
        <f t="shared" si="5"/>
        <v>2.5000000000000001E-3</v>
      </c>
      <c r="R34" s="6">
        <f t="shared" si="15"/>
        <v>2.9590918241180542E-2</v>
      </c>
      <c r="S34" s="6">
        <f t="shared" si="18"/>
        <v>3.4321125526218431E-2</v>
      </c>
      <c r="T34" s="6">
        <f t="shared" si="20"/>
        <v>3.1189494017485941E-2</v>
      </c>
      <c r="U34" s="6">
        <f t="shared" si="32"/>
        <v>2.469328981314502E-2</v>
      </c>
      <c r="V34" s="2">
        <v>0</v>
      </c>
      <c r="W34" s="2">
        <v>73518826</v>
      </c>
      <c r="X34" s="2">
        <v>2796827</v>
      </c>
      <c r="Y34" s="2">
        <v>1323169</v>
      </c>
      <c r="Z34" s="2">
        <v>298686</v>
      </c>
      <c r="AA34" s="2">
        <v>62794</v>
      </c>
      <c r="AB34" s="2">
        <v>0</v>
      </c>
      <c r="AC34" s="2">
        <v>0</v>
      </c>
      <c r="AD34" s="2">
        <v>615702.65</v>
      </c>
      <c r="AE34" s="4">
        <f t="shared" si="24"/>
        <v>6.8411405555555554E-3</v>
      </c>
      <c r="AF34" s="2">
        <v>65031565.090000004</v>
      </c>
      <c r="AG34" s="5">
        <f t="shared" si="16"/>
        <v>0.85511591176857338</v>
      </c>
      <c r="AH34" s="2">
        <f t="shared" si="7"/>
        <v>62466217.354694284</v>
      </c>
      <c r="AI34" s="2">
        <f t="shared" si="31"/>
        <v>13950000</v>
      </c>
      <c r="AJ34" s="5">
        <f t="shared" si="17"/>
        <v>1</v>
      </c>
      <c r="AK34" s="4">
        <f t="shared" si="0"/>
        <v>0.83291735972099579</v>
      </c>
      <c r="AL34" s="9">
        <v>1070000</v>
      </c>
      <c r="AM34" s="4">
        <f t="shared" si="1"/>
        <v>0.18078708632252272</v>
      </c>
      <c r="AN34" s="4"/>
      <c r="AO34" s="8">
        <f t="shared" si="8"/>
        <v>0.94162129355123747</v>
      </c>
      <c r="AP34" s="8">
        <f t="shared" si="9"/>
        <v>3.5821462350052041E-2</v>
      </c>
      <c r="AQ34" s="8">
        <f t="shared" si="10"/>
        <v>1.6947007632669452E-2</v>
      </c>
      <c r="AR34" s="8">
        <f t="shared" si="11"/>
        <v>3.8255384775274419E-3</v>
      </c>
      <c r="AS34" s="8">
        <f t="shared" si="12"/>
        <v>8.0425886435205594E-4</v>
      </c>
      <c r="AT34" s="8">
        <f t="shared" si="13"/>
        <v>0</v>
      </c>
    </row>
    <row r="35" spans="1:46" x14ac:dyDescent="0.25">
      <c r="A35">
        <f t="shared" si="14"/>
        <v>31</v>
      </c>
      <c r="B35" s="3">
        <v>40118</v>
      </c>
      <c r="C35" s="4">
        <v>6.7500000000000004E-2</v>
      </c>
      <c r="D35">
        <v>3186</v>
      </c>
      <c r="E35" s="2">
        <v>77786177.489999995</v>
      </c>
      <c r="F35" s="2"/>
      <c r="G35" s="5">
        <f t="shared" si="2"/>
        <v>0.86429086099999997</v>
      </c>
      <c r="H35" s="2">
        <f t="shared" si="3"/>
        <v>146760.99924812029</v>
      </c>
      <c r="I35" s="2"/>
      <c r="J35" s="2"/>
      <c r="K35" s="2"/>
      <c r="L35" s="2"/>
      <c r="M35" s="2"/>
      <c r="N35" s="2"/>
      <c r="O35" s="2"/>
      <c r="P35" s="36">
        <f t="shared" si="4"/>
        <v>6</v>
      </c>
      <c r="Q35" s="6">
        <f t="shared" si="5"/>
        <v>1.8796992481203009E-3</v>
      </c>
      <c r="R35" s="6">
        <f t="shared" si="15"/>
        <v>2.2324650171415383E-2</v>
      </c>
      <c r="S35" s="6">
        <f t="shared" si="18"/>
        <v>3.0752828496068123E-2</v>
      </c>
      <c r="T35" s="6">
        <f t="shared" si="20"/>
        <v>3.1247413424973263E-2</v>
      </c>
      <c r="U35" s="6">
        <f t="shared" si="32"/>
        <v>2.4142029041718933E-2</v>
      </c>
      <c r="V35" s="2">
        <v>0</v>
      </c>
      <c r="W35" s="2">
        <v>73236335</v>
      </c>
      <c r="X35" s="2">
        <v>2515054</v>
      </c>
      <c r="Y35" s="2">
        <v>1520602</v>
      </c>
      <c r="Z35" s="2">
        <v>256191</v>
      </c>
      <c r="AA35" s="2">
        <v>124047</v>
      </c>
      <c r="AB35" s="2">
        <v>24292</v>
      </c>
      <c r="AC35" s="2">
        <v>33106.57</v>
      </c>
      <c r="AD35" s="2">
        <v>648809.22</v>
      </c>
      <c r="AE35" s="4">
        <f t="shared" si="24"/>
        <v>7.2089913333333328E-3</v>
      </c>
      <c r="AF35" s="2">
        <v>64914371.149999999</v>
      </c>
      <c r="AG35" s="5">
        <f t="shared" si="16"/>
        <v>0.85357490006574621</v>
      </c>
      <c r="AH35" s="2">
        <f t="shared" si="7"/>
        <v>62353646.449802764</v>
      </c>
      <c r="AI35" s="2">
        <f t="shared" si="31"/>
        <v>13950000</v>
      </c>
      <c r="AJ35" s="5">
        <f t="shared" si="17"/>
        <v>1</v>
      </c>
      <c r="AK35" s="4">
        <f t="shared" si="0"/>
        <v>0.83452321793734152</v>
      </c>
      <c r="AL35" s="9">
        <v>1070000</v>
      </c>
      <c r="AM35" s="4">
        <f t="shared" si="1"/>
        <v>0.17923243935970912</v>
      </c>
      <c r="AN35" s="4"/>
      <c r="AO35" s="8">
        <f t="shared" si="8"/>
        <v>0.94150834201121514</v>
      </c>
      <c r="AP35" s="8">
        <f t="shared" si="9"/>
        <v>3.2332916736052875E-2</v>
      </c>
      <c r="AQ35" s="8">
        <f t="shared" si="10"/>
        <v>1.9548485978700843E-2</v>
      </c>
      <c r="AR35" s="8">
        <f t="shared" si="11"/>
        <v>3.2935285968118859E-3</v>
      </c>
      <c r="AS35" s="8">
        <f t="shared" si="12"/>
        <v>1.5947177763806068E-3</v>
      </c>
      <c r="AT35" s="8">
        <f t="shared" si="13"/>
        <v>3.1229198790650077E-4</v>
      </c>
    </row>
    <row r="36" spans="1:46" x14ac:dyDescent="0.25">
      <c r="A36">
        <f t="shared" si="14"/>
        <v>32</v>
      </c>
      <c r="B36" s="3">
        <v>40148</v>
      </c>
      <c r="C36" s="4">
        <v>6.7500000000000004E-2</v>
      </c>
      <c r="D36">
        <v>3181</v>
      </c>
      <c r="E36" s="2">
        <v>77483168.319999993</v>
      </c>
      <c r="F36" s="2"/>
      <c r="G36" s="5">
        <f t="shared" si="2"/>
        <v>0.86092409244444434</v>
      </c>
      <c r="H36" s="2">
        <f t="shared" si="3"/>
        <v>122074.98036723163</v>
      </c>
      <c r="I36" s="2"/>
      <c r="J36" s="2"/>
      <c r="K36" s="2"/>
      <c r="L36" s="2"/>
      <c r="M36" s="2"/>
      <c r="N36" s="2"/>
      <c r="O36" s="2"/>
      <c r="P36" s="36">
        <f t="shared" si="4"/>
        <v>5</v>
      </c>
      <c r="Q36" s="6">
        <f t="shared" si="5"/>
        <v>1.5693659761456373E-3</v>
      </c>
      <c r="R36" s="6">
        <f t="shared" si="15"/>
        <v>1.8670687032638855E-2</v>
      </c>
      <c r="S36" s="6">
        <f t="shared" si="18"/>
        <v>2.3528751815078259E-2</v>
      </c>
      <c r="T36" s="6">
        <f t="shared" si="20"/>
        <v>2.8882741008966078E-2</v>
      </c>
      <c r="U36" s="6">
        <f t="shared" si="32"/>
        <v>2.2982820449408626E-2</v>
      </c>
      <c r="V36" s="2">
        <v>41369.29</v>
      </c>
      <c r="W36" s="2">
        <v>72769538</v>
      </c>
      <c r="X36" s="2">
        <v>2659505</v>
      </c>
      <c r="Y36" s="2">
        <v>1482500</v>
      </c>
      <c r="Z36" s="2">
        <v>302984</v>
      </c>
      <c r="AA36" s="2">
        <v>43993</v>
      </c>
      <c r="AB36" s="2">
        <v>124047</v>
      </c>
      <c r="AC36" s="2">
        <v>0</v>
      </c>
      <c r="AD36" s="2">
        <v>582596</v>
      </c>
      <c r="AE36" s="4">
        <f t="shared" si="24"/>
        <v>6.4732888888888885E-3</v>
      </c>
      <c r="AF36" s="2">
        <v>64735524.560000002</v>
      </c>
      <c r="AG36" s="5">
        <f t="shared" si="16"/>
        <v>0.85122320262984885</v>
      </c>
      <c r="AH36" s="2">
        <f t="shared" si="7"/>
        <v>62181854.952110454</v>
      </c>
      <c r="AI36" s="2">
        <f t="shared" si="31"/>
        <v>13950000</v>
      </c>
      <c r="AJ36" s="5">
        <f t="shared" si="17"/>
        <v>1</v>
      </c>
      <c r="AK36" s="4">
        <f t="shared" ref="AK36:AK67" si="33">+AF36/E36</f>
        <v>0.83547854280618561</v>
      </c>
      <c r="AL36" s="9">
        <v>1070000</v>
      </c>
      <c r="AM36" s="4">
        <f t="shared" ref="AM36:AM67" si="34">1-(+AF36-AL36)/E36</f>
        <v>0.17833090798422313</v>
      </c>
      <c r="AN36" s="4"/>
      <c r="AO36" s="8">
        <f t="shared" si="8"/>
        <v>0.93916575145026293</v>
      </c>
      <c r="AP36" s="8">
        <f t="shared" si="9"/>
        <v>3.4323648060136533E-2</v>
      </c>
      <c r="AQ36" s="8">
        <f t="shared" si="10"/>
        <v>1.9133187660542998E-2</v>
      </c>
      <c r="AR36" s="8">
        <f t="shared" si="11"/>
        <v>3.9103202226927211E-3</v>
      </c>
      <c r="AS36" s="8">
        <f t="shared" si="12"/>
        <v>5.6777492394621798E-4</v>
      </c>
      <c r="AT36" s="8">
        <f t="shared" si="13"/>
        <v>1.6009541515867637E-3</v>
      </c>
    </row>
    <row r="37" spans="1:46" x14ac:dyDescent="0.25">
      <c r="A37">
        <f t="shared" si="14"/>
        <v>33</v>
      </c>
      <c r="B37" s="3">
        <v>40179</v>
      </c>
      <c r="C37" s="4">
        <v>6.7500000000000004E-2</v>
      </c>
      <c r="D37">
        <v>3169</v>
      </c>
      <c r="E37" s="2">
        <v>77011813.640000001</v>
      </c>
      <c r="F37" s="2"/>
      <c r="G37" s="5">
        <f t="shared" ref="G37:G68" si="35">+E37/$E$4</f>
        <v>0.85568681822222226</v>
      </c>
      <c r="H37" s="2">
        <f t="shared" ref="H37:H68" si="36">+E36/D36*P37</f>
        <v>292297.39699465578</v>
      </c>
      <c r="I37" s="2"/>
      <c r="J37" s="2"/>
      <c r="K37" s="2"/>
      <c r="L37" s="2"/>
      <c r="M37" s="2"/>
      <c r="N37" s="2"/>
      <c r="O37" s="2"/>
      <c r="P37" s="36">
        <f t="shared" ref="P37:P69" si="37">+D36-D37</f>
        <v>12</v>
      </c>
      <c r="Q37" s="6">
        <f t="shared" ref="Q37:Q68" si="38">IF(I37&gt;0,I37,+H37)/E36</f>
        <v>3.7723986167871744E-3</v>
      </c>
      <c r="R37" s="6">
        <f t="shared" si="15"/>
        <v>4.4341249022377238E-2</v>
      </c>
      <c r="S37" s="6">
        <f t="shared" si="18"/>
        <v>2.8445528742143827E-2</v>
      </c>
      <c r="T37" s="6">
        <f t="shared" si="20"/>
        <v>3.1383327134181127E-2</v>
      </c>
      <c r="U37" s="6">
        <f t="shared" si="32"/>
        <v>2.5761203437557795E-2</v>
      </c>
      <c r="V37" s="2">
        <v>183535.73</v>
      </c>
      <c r="W37" s="2">
        <v>72132217</v>
      </c>
      <c r="X37" s="2">
        <v>3322386</v>
      </c>
      <c r="Y37" s="2">
        <v>1349555</v>
      </c>
      <c r="Z37" s="2">
        <v>72858</v>
      </c>
      <c r="AA37" s="2">
        <v>13846</v>
      </c>
      <c r="AB37" s="2">
        <v>0</v>
      </c>
      <c r="AC37" s="2">
        <v>47169.46</v>
      </c>
      <c r="AD37" s="2">
        <v>629702.31000000006</v>
      </c>
      <c r="AE37" s="4">
        <f t="shared" si="24"/>
        <v>6.9966923333333337E-3</v>
      </c>
      <c r="AF37" s="2">
        <v>64269807.32</v>
      </c>
      <c r="AG37" s="5">
        <f t="shared" si="16"/>
        <v>0.84509937304404992</v>
      </c>
      <c r="AH37" s="2">
        <f t="shared" si="7"/>
        <v>61734509.200867854</v>
      </c>
      <c r="AI37" s="2">
        <f t="shared" si="31"/>
        <v>13950000</v>
      </c>
      <c r="AJ37" s="5">
        <f t="shared" si="17"/>
        <v>1</v>
      </c>
      <c r="AK37" s="4">
        <f t="shared" si="33"/>
        <v>0.8345447832255467</v>
      </c>
      <c r="AL37" s="9">
        <v>1070000</v>
      </c>
      <c r="AM37" s="4">
        <f t="shared" si="34"/>
        <v>0.17934918900320551</v>
      </c>
      <c r="AN37" s="4"/>
      <c r="AO37" s="8">
        <f t="shared" ref="AO37:AO68" si="39">+W37/$E37</f>
        <v>0.93663833625824999</v>
      </c>
      <c r="AP37" s="8">
        <f t="shared" ref="AP37:AP68" si="40">+X37/$E37</f>
        <v>4.314125123102347E-2</v>
      </c>
      <c r="AQ37" s="8">
        <f t="shared" ref="AQ37:AQ68" si="41">+Y37/$E37</f>
        <v>1.7523999711377268E-2</v>
      </c>
      <c r="AR37" s="8">
        <f t="shared" ref="AR37:AR68" si="42">+Z37/$E37</f>
        <v>9.4606264359105416E-4</v>
      </c>
      <c r="AS37" s="8">
        <f t="shared" ref="AS37:AS68" si="43">+AA37/$E37</f>
        <v>1.7979059764420839E-4</v>
      </c>
      <c r="AT37" s="8">
        <f t="shared" ref="AT37:AT68" si="44">+AB37/$E37</f>
        <v>0</v>
      </c>
    </row>
    <row r="38" spans="1:46" x14ac:dyDescent="0.25">
      <c r="A38">
        <f t="shared" si="14"/>
        <v>34</v>
      </c>
      <c r="B38" s="3">
        <v>40210</v>
      </c>
      <c r="C38" s="4">
        <v>6.7500000000000004E-2</v>
      </c>
      <c r="D38">
        <v>3161</v>
      </c>
      <c r="E38" s="2">
        <v>76673500.209999993</v>
      </c>
      <c r="F38" s="2"/>
      <c r="G38" s="5">
        <f t="shared" si="35"/>
        <v>0.85192778011111103</v>
      </c>
      <c r="H38" s="2">
        <f t="shared" si="36"/>
        <v>194412.90915746291</v>
      </c>
      <c r="I38" s="2"/>
      <c r="J38" s="2"/>
      <c r="K38" s="2"/>
      <c r="L38" s="2"/>
      <c r="M38" s="2"/>
      <c r="N38" s="2"/>
      <c r="O38" s="2"/>
      <c r="P38" s="36">
        <f t="shared" si="37"/>
        <v>8</v>
      </c>
      <c r="Q38" s="6">
        <f t="shared" si="38"/>
        <v>2.5244556642473963E-3</v>
      </c>
      <c r="R38" s="6">
        <f t="shared" si="15"/>
        <v>2.9876377475437477E-2</v>
      </c>
      <c r="S38" s="6">
        <f t="shared" si="18"/>
        <v>3.0962771176817856E-2</v>
      </c>
      <c r="T38" s="6">
        <f t="shared" si="20"/>
        <v>3.085779983644299E-2</v>
      </c>
      <c r="U38" s="6">
        <f t="shared" si="32"/>
        <v>2.672678623916026E-2</v>
      </c>
      <c r="V38" s="2">
        <v>809038.81</v>
      </c>
      <c r="W38" s="2">
        <v>71499454</v>
      </c>
      <c r="X38" s="2">
        <v>3534601</v>
      </c>
      <c r="Y38" s="2">
        <v>1145178</v>
      </c>
      <c r="Z38" s="2">
        <v>315305</v>
      </c>
      <c r="AA38" s="2">
        <v>58073</v>
      </c>
      <c r="AB38" s="2">
        <v>0</v>
      </c>
      <c r="AC38" s="2">
        <v>0</v>
      </c>
      <c r="AD38" s="2">
        <v>629702.31000000006</v>
      </c>
      <c r="AE38" s="4">
        <f t="shared" si="24"/>
        <v>6.9966923333333337E-3</v>
      </c>
      <c r="AF38" s="2">
        <v>63294833.829999998</v>
      </c>
      <c r="AG38" s="5">
        <f t="shared" si="16"/>
        <v>0.8322792088099934</v>
      </c>
      <c r="AH38" s="2">
        <f t="shared" si="7"/>
        <v>60797996.203570016</v>
      </c>
      <c r="AI38" s="2">
        <f t="shared" si="31"/>
        <v>13950000</v>
      </c>
      <c r="AJ38" s="5">
        <f t="shared" si="17"/>
        <v>1</v>
      </c>
      <c r="AK38" s="4">
        <f t="shared" si="33"/>
        <v>0.82551120865282857</v>
      </c>
      <c r="AL38" s="9">
        <v>1070000</v>
      </c>
      <c r="AM38" s="4">
        <f t="shared" si="34"/>
        <v>0.18844406920809331</v>
      </c>
      <c r="AN38" s="4"/>
      <c r="AO38" s="8">
        <f t="shared" si="39"/>
        <v>0.93251845558336488</v>
      </c>
      <c r="AP38" s="8">
        <f t="shared" si="40"/>
        <v>4.6099382320086209E-2</v>
      </c>
      <c r="AQ38" s="8">
        <f t="shared" si="41"/>
        <v>1.4935773074967072E-2</v>
      </c>
      <c r="AR38" s="8">
        <f t="shared" si="42"/>
        <v>4.1123073700354814E-3</v>
      </c>
      <c r="AS38" s="8">
        <f t="shared" si="43"/>
        <v>7.5740640300683631E-4</v>
      </c>
      <c r="AT38" s="8">
        <f t="shared" si="44"/>
        <v>0</v>
      </c>
    </row>
    <row r="39" spans="1:46" x14ac:dyDescent="0.25">
      <c r="A39">
        <f t="shared" si="14"/>
        <v>35</v>
      </c>
      <c r="B39" s="3">
        <v>40238</v>
      </c>
      <c r="C39" s="4">
        <v>6.7500000000000004E-2</v>
      </c>
      <c r="D39">
        <v>3154</v>
      </c>
      <c r="E39" s="2">
        <v>76342515.969999999</v>
      </c>
      <c r="F39" s="2"/>
      <c r="G39" s="5">
        <f t="shared" si="35"/>
        <v>0.84825017744444442</v>
      </c>
      <c r="H39" s="2">
        <f t="shared" si="36"/>
        <v>169792.62937994304</v>
      </c>
      <c r="I39" s="2"/>
      <c r="J39" s="2"/>
      <c r="K39" s="2"/>
      <c r="L39" s="2"/>
      <c r="M39" s="2"/>
      <c r="N39" s="2"/>
      <c r="O39" s="2"/>
      <c r="P39" s="36">
        <f t="shared" si="37"/>
        <v>7</v>
      </c>
      <c r="Q39" s="6">
        <f t="shared" si="38"/>
        <v>2.2144890857323631E-3</v>
      </c>
      <c r="R39" s="6">
        <f t="shared" si="15"/>
        <v>2.6252584829995707E-2</v>
      </c>
      <c r="S39" s="6">
        <f t="shared" si="18"/>
        <v>3.3490070442603471E-2</v>
      </c>
      <c r="T39" s="6">
        <f t="shared" si="20"/>
        <v>2.8509411128840867E-2</v>
      </c>
      <c r="U39" s="6">
        <f t="shared" si="32"/>
        <v>2.7691282024043556E-2</v>
      </c>
      <c r="V39" s="2"/>
      <c r="W39" s="2">
        <v>71203027</v>
      </c>
      <c r="X39" s="2">
        <v>3164702</v>
      </c>
      <c r="Y39" s="2">
        <v>1573537</v>
      </c>
      <c r="Z39" s="2">
        <v>313137</v>
      </c>
      <c r="AA39" s="2">
        <v>27258</v>
      </c>
      <c r="AB39" s="2">
        <v>0</v>
      </c>
      <c r="AC39" s="2"/>
      <c r="AD39" s="2">
        <v>629702.31000000006</v>
      </c>
      <c r="AE39" s="4">
        <f t="shared" si="24"/>
        <v>6.9966923333333337E-3</v>
      </c>
      <c r="AF39" s="2">
        <v>63120978.939999998</v>
      </c>
      <c r="AG39" s="5">
        <f t="shared" si="16"/>
        <v>0.82999314845496386</v>
      </c>
      <c r="AH39" s="2">
        <f t="shared" si="7"/>
        <v>60630999.494635105</v>
      </c>
      <c r="AI39" s="2">
        <f t="shared" si="31"/>
        <v>13950000</v>
      </c>
      <c r="AJ39" s="5">
        <f t="shared" si="17"/>
        <v>1</v>
      </c>
      <c r="AK39" s="4">
        <f t="shared" si="33"/>
        <v>0.82681292511769444</v>
      </c>
      <c r="AL39" s="9">
        <v>1070000</v>
      </c>
      <c r="AM39" s="4">
        <f t="shared" si="34"/>
        <v>0.18720285608108711</v>
      </c>
      <c r="AN39" s="4"/>
      <c r="AO39" s="8">
        <f t="shared" si="39"/>
        <v>0.93267854871301803</v>
      </c>
      <c r="AP39" s="8">
        <f t="shared" si="40"/>
        <v>4.1453991393781413E-2</v>
      </c>
      <c r="AQ39" s="8">
        <f t="shared" si="41"/>
        <v>2.0611542336623361E-2</v>
      </c>
      <c r="AR39" s="8">
        <f t="shared" si="42"/>
        <v>4.1017380161147967E-3</v>
      </c>
      <c r="AS39" s="8">
        <f t="shared" si="43"/>
        <v>3.5704875132372454E-4</v>
      </c>
      <c r="AT39" s="8">
        <f t="shared" si="44"/>
        <v>0</v>
      </c>
    </row>
    <row r="40" spans="1:46" x14ac:dyDescent="0.25">
      <c r="A40">
        <f t="shared" si="14"/>
        <v>36</v>
      </c>
      <c r="B40" s="3">
        <v>40269</v>
      </c>
      <c r="C40" s="4">
        <v>6.7500000000000004E-2</v>
      </c>
      <c r="D40">
        <v>3139</v>
      </c>
      <c r="E40" s="2">
        <v>75802399.329999998</v>
      </c>
      <c r="F40" s="2"/>
      <c r="G40" s="5">
        <f t="shared" si="35"/>
        <v>0.84224888144444443</v>
      </c>
      <c r="H40" s="2">
        <f t="shared" si="36"/>
        <v>363074.74304058339</v>
      </c>
      <c r="I40" s="2"/>
      <c r="J40" s="2"/>
      <c r="K40" s="2"/>
      <c r="L40" s="2"/>
      <c r="M40" s="2"/>
      <c r="N40" s="2"/>
      <c r="O40" s="2"/>
      <c r="P40" s="36">
        <f t="shared" si="37"/>
        <v>15</v>
      </c>
      <c r="Q40" s="6">
        <f t="shared" si="38"/>
        <v>4.7558655675332909E-3</v>
      </c>
      <c r="R40" s="6">
        <f t="shared" si="15"/>
        <v>5.5600995776329376E-2</v>
      </c>
      <c r="S40" s="6">
        <f t="shared" si="18"/>
        <v>3.7243319360587522E-2</v>
      </c>
      <c r="T40" s="6">
        <f t="shared" si="20"/>
        <v>3.2844424051365673E-2</v>
      </c>
      <c r="U40" s="6">
        <f t="shared" si="32"/>
        <v>3.2016959034425807E-2</v>
      </c>
      <c r="V40" s="2">
        <v>0</v>
      </c>
      <c r="W40" s="2">
        <v>71800748</v>
      </c>
      <c r="X40" s="2">
        <v>2575960</v>
      </c>
      <c r="Y40" s="2">
        <v>1215867</v>
      </c>
      <c r="Z40" s="2">
        <v>121712</v>
      </c>
      <c r="AA40" s="2">
        <v>0</v>
      </c>
      <c r="AB40" s="2">
        <v>27258</v>
      </c>
      <c r="AC40" s="2">
        <v>0</v>
      </c>
      <c r="AD40" s="2">
        <v>629702.31000000006</v>
      </c>
      <c r="AE40" s="4">
        <f t="shared" si="24"/>
        <v>6.9966923333333337E-3</v>
      </c>
      <c r="AF40" s="2">
        <v>62742419.049999997</v>
      </c>
      <c r="AG40" s="5">
        <f t="shared" si="16"/>
        <v>0.82501537212360287</v>
      </c>
      <c r="AH40" s="2">
        <f t="shared" si="7"/>
        <v>60267372.933629192</v>
      </c>
      <c r="AI40" s="2">
        <f t="shared" si="31"/>
        <v>13950000</v>
      </c>
      <c r="AJ40" s="5">
        <f t="shared" si="17"/>
        <v>1</v>
      </c>
      <c r="AK40" s="4">
        <f t="shared" si="33"/>
        <v>0.82771019920960065</v>
      </c>
      <c r="AL40" s="9">
        <v>1070000</v>
      </c>
      <c r="AM40" s="4">
        <f t="shared" si="34"/>
        <v>0.18640544896852407</v>
      </c>
      <c r="AN40" s="4"/>
      <c r="AO40" s="8">
        <f t="shared" si="39"/>
        <v>0.94720943709737848</v>
      </c>
      <c r="AP40" s="8">
        <f t="shared" si="40"/>
        <v>3.3982565496189027E-2</v>
      </c>
      <c r="AQ40" s="8">
        <f t="shared" si="41"/>
        <v>1.6039954021861699E-2</v>
      </c>
      <c r="AR40" s="8">
        <f t="shared" si="42"/>
        <v>1.605648384164412E-3</v>
      </c>
      <c r="AS40" s="8">
        <f t="shared" si="43"/>
        <v>0</v>
      </c>
      <c r="AT40" s="8">
        <f t="shared" si="44"/>
        <v>3.5959283928908853E-4</v>
      </c>
    </row>
    <row r="41" spans="1:46" x14ac:dyDescent="0.25">
      <c r="A41">
        <f t="shared" si="14"/>
        <v>37</v>
      </c>
      <c r="B41" s="3">
        <v>40299</v>
      </c>
      <c r="C41" s="4">
        <v>6.7500000000000004E-2</v>
      </c>
      <c r="D41">
        <v>3132</v>
      </c>
      <c r="E41" s="2">
        <v>75463856.769999996</v>
      </c>
      <c r="F41" s="2"/>
      <c r="G41" s="5">
        <f t="shared" si="35"/>
        <v>0.83848729744444439</v>
      </c>
      <c r="H41" s="2">
        <f t="shared" si="36"/>
        <v>169040.07496336411</v>
      </c>
      <c r="I41" s="2"/>
      <c r="J41" s="2"/>
      <c r="K41" s="2"/>
      <c r="L41" s="2"/>
      <c r="M41" s="2"/>
      <c r="N41" s="2"/>
      <c r="O41" s="2"/>
      <c r="P41" s="36">
        <f t="shared" si="37"/>
        <v>7</v>
      </c>
      <c r="Q41" s="6">
        <f t="shared" si="38"/>
        <v>2.2300095571838163E-3</v>
      </c>
      <c r="R41" s="6">
        <f t="shared" si="15"/>
        <v>2.6434328011190167E-2</v>
      </c>
      <c r="S41" s="6">
        <f t="shared" si="18"/>
        <v>3.6095969539171747E-2</v>
      </c>
      <c r="T41" s="6">
        <f t="shared" si="20"/>
        <v>3.3529370357994803E-2</v>
      </c>
      <c r="U41" s="6">
        <f t="shared" si="32"/>
        <v>3.2388391891484035E-2</v>
      </c>
      <c r="V41" s="2">
        <v>0</v>
      </c>
      <c r="W41" s="2">
        <v>71406635</v>
      </c>
      <c r="X41" s="2">
        <v>2232959</v>
      </c>
      <c r="Y41" s="2">
        <v>1538055</v>
      </c>
      <c r="Z41" s="2">
        <v>198095</v>
      </c>
      <c r="AA41" s="2">
        <v>0</v>
      </c>
      <c r="AB41" s="2">
        <v>0</v>
      </c>
      <c r="AC41" s="2">
        <v>27258.03</v>
      </c>
      <c r="AD41" s="2">
        <v>656960.34000000008</v>
      </c>
      <c r="AE41" s="4">
        <f t="shared" si="24"/>
        <v>7.2995593333333346E-3</v>
      </c>
      <c r="AF41" s="2">
        <v>62608123.090000004</v>
      </c>
      <c r="AG41" s="5">
        <f t="shared" si="16"/>
        <v>0.82324948178829727</v>
      </c>
      <c r="AH41" s="2">
        <f t="shared" si="7"/>
        <v>60138374.644635111</v>
      </c>
      <c r="AI41" s="2">
        <f t="shared" si="31"/>
        <v>13950000</v>
      </c>
      <c r="AJ41" s="5">
        <f t="shared" si="17"/>
        <v>1</v>
      </c>
      <c r="AK41" s="4">
        <f t="shared" si="33"/>
        <v>0.82964382910905399</v>
      </c>
      <c r="AL41" s="9">
        <v>1070000</v>
      </c>
      <c r="AM41" s="4">
        <f t="shared" si="34"/>
        <v>0.18453514405502858</v>
      </c>
      <c r="AN41" s="4"/>
      <c r="AO41" s="8">
        <f t="shared" si="39"/>
        <v>0.94623622560975562</v>
      </c>
      <c r="AP41" s="8">
        <f t="shared" si="40"/>
        <v>2.9589781063080963E-2</v>
      </c>
      <c r="AQ41" s="8">
        <f t="shared" si="41"/>
        <v>2.0381346326993462E-2</v>
      </c>
      <c r="AR41" s="8">
        <f t="shared" si="42"/>
        <v>2.6250314849896586E-3</v>
      </c>
      <c r="AS41" s="8">
        <f t="shared" si="43"/>
        <v>0</v>
      </c>
      <c r="AT41" s="8">
        <f t="shared" si="44"/>
        <v>0</v>
      </c>
    </row>
    <row r="42" spans="1:46" x14ac:dyDescent="0.25">
      <c r="A42">
        <f t="shared" si="14"/>
        <v>38</v>
      </c>
      <c r="B42" s="3">
        <v>40330</v>
      </c>
      <c r="C42" s="4">
        <v>6.7500000000000004E-2</v>
      </c>
      <c r="D42">
        <v>3122</v>
      </c>
      <c r="E42" s="2">
        <v>75016666.569999993</v>
      </c>
      <c r="F42" s="2"/>
      <c r="G42" s="5">
        <f t="shared" si="35"/>
        <v>0.83351851744444438</v>
      </c>
      <c r="H42" s="2">
        <f t="shared" si="36"/>
        <v>240944.62570242657</v>
      </c>
      <c r="I42" s="2"/>
      <c r="J42" s="2"/>
      <c r="K42" s="2"/>
      <c r="L42" s="2"/>
      <c r="M42" s="2"/>
      <c r="N42" s="2"/>
      <c r="O42" s="2"/>
      <c r="P42" s="36">
        <f t="shared" si="37"/>
        <v>10</v>
      </c>
      <c r="Q42" s="6">
        <f t="shared" si="38"/>
        <v>3.1928480204342275E-3</v>
      </c>
      <c r="R42" s="6">
        <f t="shared" si="15"/>
        <v>3.7648463417214506E-2</v>
      </c>
      <c r="S42" s="6">
        <f t="shared" si="18"/>
        <v>3.9894595734911352E-2</v>
      </c>
      <c r="T42" s="6">
        <f t="shared" si="20"/>
        <v>3.6692333088757412E-2</v>
      </c>
      <c r="U42" s="6">
        <f t="shared" si="32"/>
        <v>3.2787537048861747E-2</v>
      </c>
      <c r="V42" s="2">
        <v>0</v>
      </c>
      <c r="W42" s="2">
        <v>71124743</v>
      </c>
      <c r="X42" s="2">
        <v>2410571</v>
      </c>
      <c r="Y42" s="2">
        <v>1223746</v>
      </c>
      <c r="Z42" s="2">
        <v>120406</v>
      </c>
      <c r="AA42" s="2">
        <v>49089</v>
      </c>
      <c r="AB42" s="2">
        <v>27258</v>
      </c>
      <c r="AC42" s="2">
        <v>0</v>
      </c>
      <c r="AD42" s="2">
        <v>656960.34000000008</v>
      </c>
      <c r="AE42" s="4">
        <f t="shared" si="24"/>
        <v>7.2995593333333346E-3</v>
      </c>
      <c r="AF42" s="2">
        <v>62318716.590000004</v>
      </c>
      <c r="AG42" s="5">
        <f t="shared" si="16"/>
        <v>0.81944400512820514</v>
      </c>
      <c r="AH42" s="2">
        <f t="shared" si="7"/>
        <v>59860384.574615389</v>
      </c>
      <c r="AI42" s="2">
        <f t="shared" si="31"/>
        <v>13950000</v>
      </c>
      <c r="AJ42" s="5">
        <f t="shared" si="17"/>
        <v>1</v>
      </c>
      <c r="AK42" s="4">
        <f t="shared" si="33"/>
        <v>0.83073161524511085</v>
      </c>
      <c r="AL42" s="9">
        <v>1070000</v>
      </c>
      <c r="AM42" s="4">
        <f t="shared" si="34"/>
        <v>0.18353188177393565</v>
      </c>
      <c r="AN42" s="4"/>
      <c r="AO42" s="8">
        <f t="shared" si="39"/>
        <v>0.94811921472985827</v>
      </c>
      <c r="AP42" s="8">
        <f t="shared" si="40"/>
        <v>3.2133805862336391E-2</v>
      </c>
      <c r="AQ42" s="8">
        <f t="shared" si="41"/>
        <v>1.6312988245859885E-2</v>
      </c>
      <c r="AR42" s="8">
        <f t="shared" si="42"/>
        <v>1.605056656145152E-3</v>
      </c>
      <c r="AS42" s="8">
        <f t="shared" si="43"/>
        <v>6.5437458426913415E-4</v>
      </c>
      <c r="AT42" s="8">
        <f t="shared" si="44"/>
        <v>3.6335925396744809E-4</v>
      </c>
    </row>
    <row r="43" spans="1:46" x14ac:dyDescent="0.25">
      <c r="A43">
        <f t="shared" si="14"/>
        <v>39</v>
      </c>
      <c r="B43" s="3">
        <v>40360</v>
      </c>
      <c r="C43" s="4">
        <v>6.7500000000000004E-2</v>
      </c>
      <c r="D43">
        <v>3113</v>
      </c>
      <c r="E43" s="2">
        <v>74627861.099999994</v>
      </c>
      <c r="F43" s="2"/>
      <c r="G43" s="5">
        <f t="shared" si="35"/>
        <v>0.82919845666666658</v>
      </c>
      <c r="H43" s="2">
        <f t="shared" si="36"/>
        <v>216255.60510249838</v>
      </c>
      <c r="I43" s="2"/>
      <c r="J43" s="2"/>
      <c r="K43" s="2"/>
      <c r="L43" s="2"/>
      <c r="M43" s="2"/>
      <c r="N43" s="2"/>
      <c r="O43" s="2"/>
      <c r="P43" s="36">
        <f t="shared" si="37"/>
        <v>9</v>
      </c>
      <c r="Q43" s="6">
        <f t="shared" si="38"/>
        <v>2.8827674567584883E-3</v>
      </c>
      <c r="R43" s="6">
        <f t="shared" si="15"/>
        <v>3.4049962967077185E-2</v>
      </c>
      <c r="S43" s="6">
        <f t="shared" si="18"/>
        <v>3.2710918131827284E-2</v>
      </c>
      <c r="T43" s="6">
        <f t="shared" si="20"/>
        <v>3.4977118746207403E-2</v>
      </c>
      <c r="U43" s="6">
        <f t="shared" si="32"/>
        <v>3.3180222940194265E-2</v>
      </c>
      <c r="V43" s="2">
        <v>1152322.44</v>
      </c>
      <c r="W43" s="2">
        <v>70558594</v>
      </c>
      <c r="X43" s="2">
        <v>2337182</v>
      </c>
      <c r="Y43" s="2">
        <v>1313023</v>
      </c>
      <c r="Z43" s="2">
        <v>302773</v>
      </c>
      <c r="AA43" s="2">
        <v>53801</v>
      </c>
      <c r="AB43" s="2">
        <v>17955</v>
      </c>
      <c r="AC43" s="2">
        <v>0</v>
      </c>
      <c r="AD43" s="2">
        <v>656960.34000000008</v>
      </c>
      <c r="AE43" s="4">
        <f t="shared" si="24"/>
        <v>7.2995593333333346E-3</v>
      </c>
      <c r="AF43" s="2">
        <v>60971015.93</v>
      </c>
      <c r="AG43" s="5">
        <f t="shared" si="16"/>
        <v>0.80172276042077584</v>
      </c>
      <c r="AH43" s="2">
        <f t="shared" si="7"/>
        <v>58565847.648737676</v>
      </c>
      <c r="AI43" s="2">
        <f t="shared" si="31"/>
        <v>13950000</v>
      </c>
      <c r="AJ43" s="5">
        <f t="shared" si="17"/>
        <v>1</v>
      </c>
      <c r="AK43" s="4">
        <f t="shared" si="33"/>
        <v>0.81700071570187349</v>
      </c>
      <c r="AL43" s="9">
        <v>1070000</v>
      </c>
      <c r="AM43" s="4">
        <f t="shared" si="34"/>
        <v>0.19733709304982339</v>
      </c>
      <c r="AN43" s="4"/>
      <c r="AO43" s="8">
        <f t="shared" si="39"/>
        <v>0.9454725481875027</v>
      </c>
      <c r="AP43" s="8">
        <f t="shared" si="40"/>
        <v>3.1317821059727517E-2</v>
      </c>
      <c r="AQ43" s="8">
        <f t="shared" si="41"/>
        <v>1.7594273514560103E-2</v>
      </c>
      <c r="AR43" s="8">
        <f t="shared" si="42"/>
        <v>4.0571040833434794E-3</v>
      </c>
      <c r="AS43" s="8">
        <f t="shared" si="43"/>
        <v>7.2092378378508831E-4</v>
      </c>
      <c r="AT43" s="8">
        <f t="shared" si="44"/>
        <v>2.4059379078197917E-4</v>
      </c>
    </row>
    <row r="44" spans="1:46" x14ac:dyDescent="0.25">
      <c r="A44">
        <f t="shared" si="14"/>
        <v>40</v>
      </c>
      <c r="B44" s="3">
        <v>40391</v>
      </c>
      <c r="C44" s="4">
        <v>6.7500000000000004E-2</v>
      </c>
      <c r="D44">
        <v>3105</v>
      </c>
      <c r="E44" s="2">
        <v>74275203.549999997</v>
      </c>
      <c r="F44" s="2"/>
      <c r="G44" s="5">
        <f t="shared" si="35"/>
        <v>0.82528003944444439</v>
      </c>
      <c r="H44" s="2">
        <f t="shared" si="36"/>
        <v>191783.77410857691</v>
      </c>
      <c r="I44" s="2"/>
      <c r="J44" s="2"/>
      <c r="K44" s="2"/>
      <c r="L44" s="2"/>
      <c r="M44" s="2"/>
      <c r="N44" s="2"/>
      <c r="O44" s="2"/>
      <c r="P44" s="36">
        <f t="shared" si="37"/>
        <v>8</v>
      </c>
      <c r="Q44" s="6">
        <f t="shared" si="38"/>
        <v>2.5698682942499195E-3</v>
      </c>
      <c r="R44" s="6">
        <f t="shared" si="15"/>
        <v>3.0406253144770634E-2</v>
      </c>
      <c r="S44" s="6">
        <f t="shared" si="18"/>
        <v>3.4034893176354108E-2</v>
      </c>
      <c r="T44" s="6">
        <f t="shared" si="20"/>
        <v>3.5065431357762931E-2</v>
      </c>
      <c r="U44" s="6">
        <f t="shared" si="32"/>
        <v>3.2961615597102957E-2</v>
      </c>
      <c r="V44" s="2">
        <v>0</v>
      </c>
      <c r="W44" s="2">
        <v>70495186</v>
      </c>
      <c r="X44" s="2">
        <v>2158760</v>
      </c>
      <c r="Y44" s="2">
        <v>1297778</v>
      </c>
      <c r="Z44" s="2">
        <v>161044</v>
      </c>
      <c r="AA44" s="2">
        <v>116902</v>
      </c>
      <c r="AB44" s="2">
        <v>0</v>
      </c>
      <c r="AC44" s="2">
        <v>0</v>
      </c>
      <c r="AD44" s="2">
        <v>656960.34000000008</v>
      </c>
      <c r="AE44" s="4">
        <f t="shared" si="24"/>
        <v>7.2995593333333346E-3</v>
      </c>
      <c r="AF44" s="2">
        <v>60782396.68</v>
      </c>
      <c r="AG44" s="5">
        <f t="shared" si="16"/>
        <v>0.79924255989480608</v>
      </c>
      <c r="AH44" s="2">
        <f t="shared" si="7"/>
        <v>58384669.000315584</v>
      </c>
      <c r="AI44" s="2">
        <f t="shared" si="31"/>
        <v>13950000</v>
      </c>
      <c r="AJ44" s="5">
        <f t="shared" si="17"/>
        <v>1</v>
      </c>
      <c r="AK44" s="4">
        <f t="shared" si="33"/>
        <v>0.8183403582203983</v>
      </c>
      <c r="AL44" s="9">
        <v>1070000</v>
      </c>
      <c r="AM44" s="4">
        <f t="shared" si="34"/>
        <v>0.19606552623173523</v>
      </c>
      <c r="AN44" s="4"/>
      <c r="AO44" s="8">
        <f t="shared" si="39"/>
        <v>0.94910794761463835</v>
      </c>
      <c r="AP44" s="8">
        <f t="shared" si="40"/>
        <v>2.9064343102698911E-2</v>
      </c>
      <c r="AQ44" s="8">
        <f t="shared" si="41"/>
        <v>1.7472560665907459E-2</v>
      </c>
      <c r="AR44" s="8">
        <f t="shared" si="42"/>
        <v>2.1682067810368188E-3</v>
      </c>
      <c r="AS44" s="8">
        <f t="shared" si="43"/>
        <v>1.5739034618909504E-3</v>
      </c>
      <c r="AT44" s="8">
        <f t="shared" si="44"/>
        <v>0</v>
      </c>
    </row>
    <row r="45" spans="1:46" x14ac:dyDescent="0.25">
      <c r="A45">
        <f t="shared" si="14"/>
        <v>41</v>
      </c>
      <c r="B45" s="3">
        <v>40422</v>
      </c>
      <c r="C45" s="4">
        <v>6.7500000000000004E-2</v>
      </c>
      <c r="D45">
        <v>3095</v>
      </c>
      <c r="E45" s="2">
        <v>73918856</v>
      </c>
      <c r="F45" s="2"/>
      <c r="G45" s="5">
        <f t="shared" si="35"/>
        <v>0.82132062222222224</v>
      </c>
      <c r="H45" s="2">
        <f t="shared" si="36"/>
        <v>239211.60563607086</v>
      </c>
      <c r="I45" s="2"/>
      <c r="J45" s="2"/>
      <c r="K45" s="2"/>
      <c r="L45" s="2"/>
      <c r="M45" s="2"/>
      <c r="N45" s="2"/>
      <c r="O45" s="2"/>
      <c r="P45" s="36">
        <f t="shared" si="37"/>
        <v>10</v>
      </c>
      <c r="Q45" s="6">
        <f t="shared" si="38"/>
        <v>3.2206119162640906E-3</v>
      </c>
      <c r="R45" s="6">
        <f t="shared" si="15"/>
        <v>3.7970064662943726E-2</v>
      </c>
      <c r="S45" s="6">
        <f t="shared" si="18"/>
        <v>3.4142093591597179E-2</v>
      </c>
      <c r="T45" s="6">
        <f t="shared" si="20"/>
        <v>3.7018344663254266E-2</v>
      </c>
      <c r="U45" s="6">
        <f t="shared" si="32"/>
        <v>3.2763877896047566E-2</v>
      </c>
      <c r="V45" s="2">
        <v>0</v>
      </c>
      <c r="W45" s="2">
        <v>70298659</v>
      </c>
      <c r="X45" s="2">
        <v>2145966</v>
      </c>
      <c r="Y45" s="2">
        <v>1074564</v>
      </c>
      <c r="Z45" s="2">
        <v>301333</v>
      </c>
      <c r="AA45" s="2">
        <v>0</v>
      </c>
      <c r="AB45" s="2">
        <v>53801</v>
      </c>
      <c r="AC45" s="2">
        <v>0</v>
      </c>
      <c r="AD45" s="2">
        <v>656960.34000000008</v>
      </c>
      <c r="AE45" s="4">
        <f t="shared" si="24"/>
        <v>7.2995593333333346E-3</v>
      </c>
      <c r="AF45" s="2">
        <v>60579761.75</v>
      </c>
      <c r="AG45" s="5">
        <f t="shared" si="16"/>
        <v>0.796578063773833</v>
      </c>
      <c r="AH45" s="2">
        <f t="shared" si="7"/>
        <v>58190027.5586785</v>
      </c>
      <c r="AI45" s="2">
        <f t="shared" si="31"/>
        <v>13950000</v>
      </c>
      <c r="AJ45" s="5">
        <f t="shared" si="17"/>
        <v>1</v>
      </c>
      <c r="AK45" s="4">
        <f t="shared" si="33"/>
        <v>0.81954409237610493</v>
      </c>
      <c r="AL45" s="9">
        <v>1002000</v>
      </c>
      <c r="AM45" s="4">
        <f t="shared" si="34"/>
        <v>0.19401131221511325</v>
      </c>
      <c r="AN45" s="4"/>
      <c r="AO45" s="8">
        <f t="shared" si="39"/>
        <v>0.95102471553401746</v>
      </c>
      <c r="AP45" s="8">
        <f t="shared" si="40"/>
        <v>2.9031374619758726E-2</v>
      </c>
      <c r="AQ45" s="8">
        <f t="shared" si="41"/>
        <v>1.4537075627902034E-2</v>
      </c>
      <c r="AR45" s="8">
        <f t="shared" si="42"/>
        <v>4.0765376563728205E-3</v>
      </c>
      <c r="AS45" s="8">
        <f t="shared" si="43"/>
        <v>0</v>
      </c>
      <c r="AT45" s="8">
        <f t="shared" si="44"/>
        <v>7.2783864512188882E-4</v>
      </c>
    </row>
    <row r="46" spans="1:46" x14ac:dyDescent="0.25">
      <c r="A46">
        <f t="shared" si="14"/>
        <v>42</v>
      </c>
      <c r="B46" s="3">
        <v>40452</v>
      </c>
      <c r="C46" s="4">
        <v>6.7500000000000004E-2</v>
      </c>
      <c r="D46">
        <v>3082</v>
      </c>
      <c r="E46" s="2">
        <v>73535489.140000001</v>
      </c>
      <c r="F46" s="2"/>
      <c r="G46" s="5">
        <f t="shared" si="35"/>
        <v>0.81706099044444447</v>
      </c>
      <c r="H46" s="2">
        <f t="shared" si="36"/>
        <v>310483.07851373183</v>
      </c>
      <c r="I46" s="2"/>
      <c r="J46" s="2"/>
      <c r="K46" s="2"/>
      <c r="L46" s="2"/>
      <c r="M46" s="2"/>
      <c r="N46" s="2"/>
      <c r="O46" s="2"/>
      <c r="P46" s="36">
        <f t="shared" si="37"/>
        <v>13</v>
      </c>
      <c r="Q46" s="6">
        <f t="shared" si="38"/>
        <v>4.2003231017770596E-3</v>
      </c>
      <c r="R46" s="6">
        <f t="shared" si="15"/>
        <v>4.9255608162841802E-2</v>
      </c>
      <c r="S46" s="6">
        <f t="shared" si="18"/>
        <v>3.9210641990185389E-2</v>
      </c>
      <c r="T46" s="6">
        <f t="shared" si="20"/>
        <v>3.5960780061006337E-2</v>
      </c>
      <c r="U46" s="6">
        <f t="shared" si="32"/>
        <v>3.4402602056186005E-2</v>
      </c>
      <c r="V46" s="2">
        <v>0</v>
      </c>
      <c r="W46" s="2">
        <v>66533245</v>
      </c>
      <c r="X46" s="2">
        <v>2667936</v>
      </c>
      <c r="Y46" s="2">
        <v>917471</v>
      </c>
      <c r="Z46" s="2">
        <v>193555</v>
      </c>
      <c r="AA46" s="2">
        <v>152205</v>
      </c>
      <c r="AB46" s="2">
        <v>0</v>
      </c>
      <c r="AC46" s="2">
        <v>26542.95</v>
      </c>
      <c r="AD46" s="2">
        <v>683503.29</v>
      </c>
      <c r="AE46" s="4">
        <f t="shared" si="24"/>
        <v>7.5944810000000001E-3</v>
      </c>
      <c r="AF46" s="2">
        <v>60390030.18</v>
      </c>
      <c r="AG46" s="5">
        <f t="shared" si="16"/>
        <v>0.79408323708086781</v>
      </c>
      <c r="AH46" s="2">
        <f t="shared" si="7"/>
        <v>58007780.468757398</v>
      </c>
      <c r="AI46" s="2">
        <f t="shared" si="31"/>
        <v>13950000</v>
      </c>
      <c r="AJ46" s="5">
        <f t="shared" si="17"/>
        <v>1</v>
      </c>
      <c r="AK46" s="4">
        <f t="shared" si="33"/>
        <v>0.82123653335638913</v>
      </c>
      <c r="AL46" s="9">
        <v>1002000</v>
      </c>
      <c r="AM46" s="4">
        <f t="shared" si="34"/>
        <v>0.19238954041721901</v>
      </c>
      <c r="AN46" s="4"/>
      <c r="AO46" s="8">
        <f t="shared" si="39"/>
        <v>0.90477735006740989</v>
      </c>
      <c r="AP46" s="8">
        <f t="shared" si="40"/>
        <v>3.628093089747006E-2</v>
      </c>
      <c r="AQ46" s="8">
        <f t="shared" si="41"/>
        <v>1.2476574382381268E-2</v>
      </c>
      <c r="AR46" s="8">
        <f t="shared" si="42"/>
        <v>2.6321304483540148E-3</v>
      </c>
      <c r="AS46" s="8">
        <f t="shared" si="43"/>
        <v>2.0698169248623021E-3</v>
      </c>
      <c r="AT46" s="8">
        <f t="shared" si="44"/>
        <v>0</v>
      </c>
    </row>
    <row r="47" spans="1:46" x14ac:dyDescent="0.25">
      <c r="A47">
        <f t="shared" si="14"/>
        <v>43</v>
      </c>
      <c r="B47" s="3">
        <v>40483</v>
      </c>
      <c r="C47" s="4">
        <v>6.7500000000000004E-2</v>
      </c>
      <c r="D47">
        <v>3070</v>
      </c>
      <c r="E47" s="2">
        <v>73065295.269999996</v>
      </c>
      <c r="F47" s="2"/>
      <c r="G47" s="5">
        <f t="shared" si="35"/>
        <v>0.81183661411111108</v>
      </c>
      <c r="H47" s="2">
        <f t="shared" si="36"/>
        <v>286315.98626865668</v>
      </c>
      <c r="I47" s="2"/>
      <c r="J47" s="2"/>
      <c r="K47" s="2"/>
      <c r="L47" s="2"/>
      <c r="M47" s="2"/>
      <c r="N47" s="2"/>
      <c r="O47" s="2"/>
      <c r="P47" s="36">
        <f t="shared" si="37"/>
        <v>12</v>
      </c>
      <c r="Q47" s="6">
        <f t="shared" si="38"/>
        <v>3.893575600259571E-3</v>
      </c>
      <c r="R47" s="6">
        <f t="shared" si="15"/>
        <v>4.5735224497153615E-2</v>
      </c>
      <c r="S47" s="6">
        <f t="shared" si="18"/>
        <v>4.4320299107646378E-2</v>
      </c>
      <c r="T47" s="6">
        <f t="shared" si="20"/>
        <v>3.9177596142000247E-2</v>
      </c>
      <c r="U47" s="6">
        <f t="shared" si="32"/>
        <v>3.6353483249997522E-2</v>
      </c>
      <c r="V47" s="2">
        <v>0</v>
      </c>
      <c r="W47" s="2">
        <v>68909531</v>
      </c>
      <c r="X47" s="2">
        <v>2504664</v>
      </c>
      <c r="Y47" s="2">
        <v>1186992</v>
      </c>
      <c r="Z47" s="2">
        <v>233260</v>
      </c>
      <c r="AA47" s="2">
        <v>41859</v>
      </c>
      <c r="AB47" s="2">
        <v>152205</v>
      </c>
      <c r="AC47" s="2"/>
      <c r="AD47" s="2">
        <v>683503.29</v>
      </c>
      <c r="AE47" s="4">
        <f t="shared" si="24"/>
        <v>7.5944810000000001E-3</v>
      </c>
      <c r="AF47" s="2">
        <v>60095922.18</v>
      </c>
      <c r="AG47" s="5">
        <f t="shared" si="16"/>
        <v>0.79021593925049305</v>
      </c>
      <c r="AH47" s="2">
        <f t="shared" si="7"/>
        <v>57725274.362248525</v>
      </c>
      <c r="AI47" s="2">
        <f t="shared" si="31"/>
        <v>13950000</v>
      </c>
      <c r="AJ47" s="5">
        <f t="shared" si="17"/>
        <v>1</v>
      </c>
      <c r="AK47" s="4">
        <f t="shared" si="33"/>
        <v>0.8224961242943869</v>
      </c>
      <c r="AL47" s="9">
        <v>1002000</v>
      </c>
      <c r="AM47" s="4">
        <f t="shared" si="34"/>
        <v>0.19121763675040571</v>
      </c>
      <c r="AN47" s="4"/>
      <c r="AO47" s="8">
        <f t="shared" si="39"/>
        <v>0.94312259664943399</v>
      </c>
      <c r="AP47" s="8">
        <f t="shared" si="40"/>
        <v>3.4279803985523535E-2</v>
      </c>
      <c r="AQ47" s="8">
        <f t="shared" si="41"/>
        <v>1.6245633383313911E-2</v>
      </c>
      <c r="AR47" s="8">
        <f t="shared" si="42"/>
        <v>3.1924869274534309E-3</v>
      </c>
      <c r="AS47" s="8">
        <f t="shared" si="43"/>
        <v>5.7289852652093445E-4</v>
      </c>
      <c r="AT47" s="8">
        <f t="shared" si="44"/>
        <v>2.0831367263699284E-3</v>
      </c>
    </row>
    <row r="48" spans="1:46" x14ac:dyDescent="0.25">
      <c r="A48">
        <f t="shared" si="14"/>
        <v>44</v>
      </c>
      <c r="B48" s="3">
        <v>40513</v>
      </c>
      <c r="C48" s="4">
        <v>6.7500000000000004E-2</v>
      </c>
      <c r="D48">
        <v>3065</v>
      </c>
      <c r="E48" s="2">
        <v>72735400.310000002</v>
      </c>
      <c r="F48" s="2"/>
      <c r="G48" s="5">
        <f t="shared" si="35"/>
        <v>0.80817111455555557</v>
      </c>
      <c r="H48" s="2">
        <f t="shared" si="36"/>
        <v>118998.85223127036</v>
      </c>
      <c r="I48" s="2"/>
      <c r="J48" s="2"/>
      <c r="K48" s="2"/>
      <c r="L48" s="2"/>
      <c r="M48" s="2"/>
      <c r="N48" s="2"/>
      <c r="O48" s="2"/>
      <c r="P48" s="36">
        <f t="shared" si="37"/>
        <v>5</v>
      </c>
      <c r="Q48" s="6">
        <f t="shared" si="38"/>
        <v>1.6286644951140066E-3</v>
      </c>
      <c r="R48" s="6">
        <f t="shared" si="15"/>
        <v>1.9369852721494718E-2</v>
      </c>
      <c r="S48" s="6">
        <f t="shared" si="18"/>
        <v>3.8120228460496709E-2</v>
      </c>
      <c r="T48" s="6">
        <f t="shared" si="20"/>
        <v>3.6131161026046944E-2</v>
      </c>
      <c r="U48" s="6">
        <f t="shared" si="32"/>
        <v>3.6411747057402181E-2</v>
      </c>
      <c r="V48" s="2">
        <v>0</v>
      </c>
      <c r="W48" s="2">
        <v>68733715</v>
      </c>
      <c r="X48" s="2">
        <v>2461150</v>
      </c>
      <c r="Y48" s="2">
        <v>1059479</v>
      </c>
      <c r="Z48" s="2">
        <v>235878</v>
      </c>
      <c r="AA48" s="2">
        <v>75044</v>
      </c>
      <c r="AB48" s="2">
        <v>14636</v>
      </c>
      <c r="AC48" s="2">
        <v>76496.429999999993</v>
      </c>
      <c r="AD48" s="2">
        <v>759999.72</v>
      </c>
      <c r="AE48" s="4">
        <f t="shared" si="24"/>
        <v>8.4444413333333336E-3</v>
      </c>
      <c r="AF48" s="2">
        <v>59800112.609999999</v>
      </c>
      <c r="AG48" s="5">
        <f t="shared" si="16"/>
        <v>0.78632626706114395</v>
      </c>
      <c r="AH48" s="2">
        <f t="shared" si="7"/>
        <v>57441133.808816567</v>
      </c>
      <c r="AI48" s="2">
        <f t="shared" si="31"/>
        <v>13950000</v>
      </c>
      <c r="AJ48" s="5">
        <f t="shared" si="17"/>
        <v>1</v>
      </c>
      <c r="AK48" s="4">
        <f t="shared" si="33"/>
        <v>0.82215966854008504</v>
      </c>
      <c r="AL48" s="9">
        <v>1002000</v>
      </c>
      <c r="AM48" s="4">
        <f t="shared" si="34"/>
        <v>0.19161629193761154</v>
      </c>
      <c r="AN48" s="4"/>
      <c r="AO48" s="8">
        <f t="shared" si="39"/>
        <v>0.94498297537451192</v>
      </c>
      <c r="AP48" s="8">
        <f t="shared" si="40"/>
        <v>3.3837031067547853E-2</v>
      </c>
      <c r="AQ48" s="8">
        <f t="shared" si="41"/>
        <v>1.4566208414121259E-2</v>
      </c>
      <c r="AR48" s="8">
        <f t="shared" si="42"/>
        <v>3.2429600853873405E-3</v>
      </c>
      <c r="AS48" s="8">
        <f t="shared" si="43"/>
        <v>1.0317396986908808E-3</v>
      </c>
      <c r="AT48" s="8">
        <f t="shared" si="44"/>
        <v>2.0122251252651421E-4</v>
      </c>
    </row>
    <row r="49" spans="1:46" x14ac:dyDescent="0.25">
      <c r="A49">
        <f t="shared" si="14"/>
        <v>45</v>
      </c>
      <c r="B49" s="3">
        <v>40544</v>
      </c>
      <c r="C49" s="4">
        <v>6.7500000000000004E-2</v>
      </c>
      <c r="D49">
        <v>3050</v>
      </c>
      <c r="E49" s="2">
        <v>72205053.769999996</v>
      </c>
      <c r="F49" s="2"/>
      <c r="G49" s="5">
        <f t="shared" si="35"/>
        <v>0.80227837522222223</v>
      </c>
      <c r="H49" s="2">
        <f t="shared" si="36"/>
        <v>355964.43871125614</v>
      </c>
      <c r="I49" s="2"/>
      <c r="J49" s="2"/>
      <c r="K49" s="2"/>
      <c r="L49" s="2"/>
      <c r="M49" s="2"/>
      <c r="N49" s="2"/>
      <c r="O49" s="2"/>
      <c r="P49" s="36">
        <f t="shared" si="37"/>
        <v>15</v>
      </c>
      <c r="Q49" s="6">
        <f t="shared" si="38"/>
        <v>4.8939641109298536E-3</v>
      </c>
      <c r="R49" s="6">
        <f t="shared" si="15"/>
        <v>5.7172316445754823E-2</v>
      </c>
      <c r="S49" s="6">
        <f t="shared" si="18"/>
        <v>4.0759131221467716E-2</v>
      </c>
      <c r="T49" s="6">
        <f t="shared" si="20"/>
        <v>3.9984886605826553E-2</v>
      </c>
      <c r="U49" s="6">
        <f t="shared" si="32"/>
        <v>3.7481002676016978E-2</v>
      </c>
      <c r="V49" s="2">
        <v>0</v>
      </c>
      <c r="W49" s="2">
        <v>68574411</v>
      </c>
      <c r="X49" s="2">
        <v>2567752</v>
      </c>
      <c r="Y49" s="2">
        <v>778875</v>
      </c>
      <c r="Z49" s="2">
        <v>70351</v>
      </c>
      <c r="AA49" s="2">
        <v>92106</v>
      </c>
      <c r="AB49" s="2">
        <v>0</v>
      </c>
      <c r="AC49" s="2">
        <v>14635.99</v>
      </c>
      <c r="AD49" s="2">
        <v>774635.71</v>
      </c>
      <c r="AE49" s="4">
        <f t="shared" si="24"/>
        <v>8.6070634444444447E-3</v>
      </c>
      <c r="AF49" s="2">
        <v>59067975.049999997</v>
      </c>
      <c r="AG49" s="5">
        <f t="shared" si="16"/>
        <v>0.77669921170282707</v>
      </c>
      <c r="AH49" s="2">
        <f t="shared" si="7"/>
        <v>56737877.414891519</v>
      </c>
      <c r="AI49" s="2">
        <f t="shared" si="31"/>
        <v>13950000</v>
      </c>
      <c r="AJ49" s="5">
        <f t="shared" si="17"/>
        <v>1</v>
      </c>
      <c r="AK49" s="4">
        <f t="shared" si="33"/>
        <v>0.81805873641689275</v>
      </c>
      <c r="AL49" s="9">
        <v>1002000</v>
      </c>
      <c r="AM49" s="4">
        <f t="shared" si="34"/>
        <v>0.19581840857065536</v>
      </c>
      <c r="AN49" s="4"/>
      <c r="AO49" s="8">
        <f t="shared" si="39"/>
        <v>0.9497176086653859</v>
      </c>
      <c r="AP49" s="8">
        <f t="shared" si="40"/>
        <v>3.5561942910246239E-2</v>
      </c>
      <c r="AQ49" s="8">
        <f t="shared" si="41"/>
        <v>1.0786987327521522E-2</v>
      </c>
      <c r="AR49" s="8">
        <f t="shared" si="42"/>
        <v>9.7432238225449088E-4</v>
      </c>
      <c r="AS49" s="8">
        <f t="shared" si="43"/>
        <v>1.2756170820589917E-3</v>
      </c>
      <c r="AT49" s="8">
        <f t="shared" si="44"/>
        <v>0</v>
      </c>
    </row>
    <row r="50" spans="1:46" x14ac:dyDescent="0.25">
      <c r="A50">
        <f t="shared" si="14"/>
        <v>46</v>
      </c>
      <c r="B50" s="3">
        <v>40575</v>
      </c>
      <c r="C50" s="4">
        <v>6.7500000000000004E-2</v>
      </c>
      <c r="D50">
        <v>3045</v>
      </c>
      <c r="E50" s="2">
        <v>71896405.879999995</v>
      </c>
      <c r="F50" s="2"/>
      <c r="G50" s="5">
        <f t="shared" si="35"/>
        <v>0.79884895422222213</v>
      </c>
      <c r="H50" s="2">
        <f t="shared" si="36"/>
        <v>118368.94060655737</v>
      </c>
      <c r="I50" s="2"/>
      <c r="J50" s="2"/>
      <c r="K50" s="2"/>
      <c r="L50" s="2"/>
      <c r="M50" s="2"/>
      <c r="N50" s="2"/>
      <c r="O50" s="2"/>
      <c r="P50" s="36">
        <f t="shared" si="37"/>
        <v>5</v>
      </c>
      <c r="Q50" s="6">
        <f t="shared" si="38"/>
        <v>1.639344262295082E-3</v>
      </c>
      <c r="R50" s="6">
        <f t="shared" si="15"/>
        <v>1.9495725151660204E-2</v>
      </c>
      <c r="S50" s="6">
        <f t="shared" si="18"/>
        <v>3.2012631439636584E-2</v>
      </c>
      <c r="T50" s="6">
        <f t="shared" si="20"/>
        <v>3.8166465273641481E-2</v>
      </c>
      <c r="U50" s="6">
        <f t="shared" si="32"/>
        <v>3.6615948315702203E-2</v>
      </c>
      <c r="V50" s="2">
        <v>0</v>
      </c>
      <c r="W50" s="2">
        <v>68160399</v>
      </c>
      <c r="X50" s="2">
        <v>2494696</v>
      </c>
      <c r="Y50" s="2">
        <v>876373</v>
      </c>
      <c r="Z50" s="2">
        <v>156952</v>
      </c>
      <c r="AA50" s="2">
        <v>70351</v>
      </c>
      <c r="AB50" s="2">
        <v>16106</v>
      </c>
      <c r="AC50" s="2">
        <v>0</v>
      </c>
      <c r="AD50" s="2">
        <v>774635.71</v>
      </c>
      <c r="AE50" s="4">
        <f t="shared" si="24"/>
        <v>8.6070634444444447E-3</v>
      </c>
      <c r="AF50" s="2">
        <v>58891327.579999998</v>
      </c>
      <c r="AG50" s="5">
        <f t="shared" si="16"/>
        <v>0.77437643103221565</v>
      </c>
      <c r="AH50" s="2">
        <f t="shared" si="7"/>
        <v>56568198.286903352</v>
      </c>
      <c r="AI50" s="2">
        <f t="shared" si="31"/>
        <v>13950000</v>
      </c>
      <c r="AJ50" s="5">
        <f t="shared" si="17"/>
        <v>1</v>
      </c>
      <c r="AK50" s="4">
        <f t="shared" si="33"/>
        <v>0.81911365191597529</v>
      </c>
      <c r="AL50" s="9">
        <v>1002000</v>
      </c>
      <c r="AM50" s="4">
        <f t="shared" si="34"/>
        <v>0.19482306700252539</v>
      </c>
      <c r="AN50" s="4"/>
      <c r="AO50" s="8">
        <f t="shared" si="39"/>
        <v>0.94803624973638256</v>
      </c>
      <c r="AP50" s="8">
        <f t="shared" si="40"/>
        <v>3.4698479979149689E-2</v>
      </c>
      <c r="AQ50" s="8">
        <f t="shared" si="41"/>
        <v>1.2189385397967269E-2</v>
      </c>
      <c r="AR50" s="8">
        <f t="shared" si="42"/>
        <v>2.1830298480005187E-3</v>
      </c>
      <c r="AS50" s="8">
        <f t="shared" si="43"/>
        <v>9.7850510243058068E-4</v>
      </c>
      <c r="AT50" s="8">
        <f t="shared" si="44"/>
        <v>2.2401676137861484E-4</v>
      </c>
    </row>
    <row r="51" spans="1:46" x14ac:dyDescent="0.25">
      <c r="A51">
        <f t="shared" si="14"/>
        <v>47</v>
      </c>
      <c r="B51" s="3">
        <v>40603</v>
      </c>
      <c r="C51" s="4">
        <v>6.7500000000000004E-2</v>
      </c>
      <c r="D51">
        <v>3036</v>
      </c>
      <c r="E51" s="2">
        <v>71544971.280000001</v>
      </c>
      <c r="F51" s="2"/>
      <c r="G51" s="5">
        <f t="shared" si="35"/>
        <v>0.79494412533333336</v>
      </c>
      <c r="H51" s="2">
        <f t="shared" si="36"/>
        <v>212501.69225615761</v>
      </c>
      <c r="I51" s="2"/>
      <c r="J51" s="2"/>
      <c r="K51" s="2"/>
      <c r="L51" s="2"/>
      <c r="M51" s="2"/>
      <c r="N51" s="2"/>
      <c r="O51" s="2"/>
      <c r="P51" s="36">
        <f t="shared" si="37"/>
        <v>9</v>
      </c>
      <c r="Q51" s="6">
        <f t="shared" si="38"/>
        <v>2.9556650246305416E-3</v>
      </c>
      <c r="R51" s="6">
        <f t="shared" si="15"/>
        <v>3.4897050140970998E-2</v>
      </c>
      <c r="S51" s="6">
        <f t="shared" si="18"/>
        <v>3.7188363912795341E-2</v>
      </c>
      <c r="T51" s="6">
        <f t="shared" si="20"/>
        <v>3.7654296186646029E-2</v>
      </c>
      <c r="U51" s="6">
        <f t="shared" si="32"/>
        <v>3.7336320424950144E-2</v>
      </c>
      <c r="V51" s="2">
        <v>0</v>
      </c>
      <c r="W51" s="2">
        <v>67372337</v>
      </c>
      <c r="X51" s="2">
        <v>2791269</v>
      </c>
      <c r="Y51" s="2">
        <v>895501</v>
      </c>
      <c r="Z51" s="2">
        <v>307847</v>
      </c>
      <c r="AA51" s="2">
        <v>29876</v>
      </c>
      <c r="AB51" s="2">
        <v>37049</v>
      </c>
      <c r="AC51" s="2">
        <v>0</v>
      </c>
      <c r="AD51" s="2">
        <v>808262.11</v>
      </c>
      <c r="AE51" s="4">
        <f t="shared" si="24"/>
        <v>8.9806901111111111E-3</v>
      </c>
      <c r="AF51" s="2">
        <v>58741075.479999997</v>
      </c>
      <c r="AG51" s="5">
        <f t="shared" si="16"/>
        <v>0.77240072952005256</v>
      </c>
      <c r="AH51" s="2">
        <f t="shared" si="7"/>
        <v>56423873.291439839</v>
      </c>
      <c r="AI51" s="2">
        <f t="shared" si="31"/>
        <v>13950000</v>
      </c>
      <c r="AJ51" s="5">
        <f t="shared" si="17"/>
        <v>1</v>
      </c>
      <c r="AK51" s="4">
        <f t="shared" si="33"/>
        <v>0.82103709637550359</v>
      </c>
      <c r="AL51" s="9">
        <v>1002000</v>
      </c>
      <c r="AM51" s="4">
        <f t="shared" si="34"/>
        <v>0.19296808081687444</v>
      </c>
      <c r="AN51" s="4"/>
      <c r="AO51" s="8">
        <f t="shared" si="39"/>
        <v>0.94167816122715475</v>
      </c>
      <c r="AP51" s="8">
        <f t="shared" si="40"/>
        <v>3.9014188559472994E-2</v>
      </c>
      <c r="AQ51" s="8">
        <f t="shared" si="41"/>
        <v>1.2516616947057638E-2</v>
      </c>
      <c r="AR51" s="8">
        <f t="shared" si="42"/>
        <v>4.3028460909600909E-3</v>
      </c>
      <c r="AS51" s="8">
        <f t="shared" si="43"/>
        <v>4.1758350678591533E-4</v>
      </c>
      <c r="AT51" s="8">
        <f t="shared" si="44"/>
        <v>5.1784212554931641E-4</v>
      </c>
    </row>
    <row r="52" spans="1:46" x14ac:dyDescent="0.25">
      <c r="A52">
        <f t="shared" si="14"/>
        <v>48</v>
      </c>
      <c r="B52" s="3">
        <v>40634</v>
      </c>
      <c r="C52" s="4">
        <v>6.7500000000000004E-2</v>
      </c>
      <c r="D52">
        <v>3031</v>
      </c>
      <c r="E52" s="2">
        <v>71267655.180000007</v>
      </c>
      <c r="F52" s="2"/>
      <c r="G52" s="5">
        <f t="shared" si="35"/>
        <v>0.79186283533333346</v>
      </c>
      <c r="H52" s="2">
        <f t="shared" si="36"/>
        <v>117827.68656126483</v>
      </c>
      <c r="I52" s="2"/>
      <c r="J52" s="2"/>
      <c r="K52" s="2"/>
      <c r="L52" s="2"/>
      <c r="M52" s="2"/>
      <c r="N52" s="2"/>
      <c r="O52" s="2"/>
      <c r="P52" s="36">
        <f t="shared" si="37"/>
        <v>5</v>
      </c>
      <c r="Q52" s="6">
        <f t="shared" si="38"/>
        <v>1.6469038208168643E-3</v>
      </c>
      <c r="R52" s="6">
        <f t="shared" si="15"/>
        <v>1.9584813647589572E-2</v>
      </c>
      <c r="S52" s="6">
        <f t="shared" si="18"/>
        <v>2.4659196313406923E-2</v>
      </c>
      <c r="T52" s="6">
        <f t="shared" si="20"/>
        <v>3.2709163767437321E-2</v>
      </c>
      <c r="U52" s="6">
        <f t="shared" si="32"/>
        <v>3.4334971914221829E-2</v>
      </c>
      <c r="V52" s="2">
        <v>0</v>
      </c>
      <c r="W52" s="2">
        <v>67268114</v>
      </c>
      <c r="X52" s="2">
        <v>2670156</v>
      </c>
      <c r="Y52" s="2">
        <v>1006406</v>
      </c>
      <c r="Z52" s="2">
        <v>63745</v>
      </c>
      <c r="AA52" s="2">
        <v>97368</v>
      </c>
      <c r="AB52" s="2">
        <v>29830</v>
      </c>
      <c r="AC52" s="2">
        <v>19528.580000000002</v>
      </c>
      <c r="AD52" s="2">
        <v>827790.69</v>
      </c>
      <c r="AE52" s="4">
        <f t="shared" si="24"/>
        <v>9.1976743333333326E-3</v>
      </c>
      <c r="AF52" s="2">
        <v>58593829.729999997</v>
      </c>
      <c r="AG52" s="5">
        <f t="shared" si="16"/>
        <v>0.7704645592373438</v>
      </c>
      <c r="AH52" s="2">
        <f t="shared" si="7"/>
        <v>56282436.052287966</v>
      </c>
      <c r="AI52" s="2">
        <f t="shared" si="31"/>
        <v>13950000</v>
      </c>
      <c r="AJ52" s="5">
        <f t="shared" si="17"/>
        <v>1</v>
      </c>
      <c r="AK52" s="4">
        <f t="shared" si="33"/>
        <v>0.82216581395880284</v>
      </c>
      <c r="AL52" s="9">
        <v>1002000</v>
      </c>
      <c r="AM52" s="4">
        <f t="shared" si="34"/>
        <v>0.19189386006118925</v>
      </c>
      <c r="AN52" s="4"/>
      <c r="AO52" s="8">
        <f t="shared" si="39"/>
        <v>0.94387999479008522</v>
      </c>
      <c r="AP52" s="8">
        <f t="shared" si="40"/>
        <v>3.746658976299997E-2</v>
      </c>
      <c r="AQ52" s="8">
        <f t="shared" si="41"/>
        <v>1.4121497297169808E-2</v>
      </c>
      <c r="AR52" s="8">
        <f t="shared" si="42"/>
        <v>8.944450303437077E-4</v>
      </c>
      <c r="AS52" s="8">
        <f t="shared" si="43"/>
        <v>1.3662298802181523E-3</v>
      </c>
      <c r="AT52" s="8">
        <f t="shared" si="44"/>
        <v>4.1856295011613142E-4</v>
      </c>
    </row>
    <row r="53" spans="1:46" x14ac:dyDescent="0.25">
      <c r="A53">
        <f t="shared" si="14"/>
        <v>49</v>
      </c>
      <c r="B53" s="3">
        <v>40664</v>
      </c>
      <c r="C53" s="4">
        <v>6.5000000000000002E-2</v>
      </c>
      <c r="D53">
        <v>3024</v>
      </c>
      <c r="E53" s="2">
        <v>70893231.969999999</v>
      </c>
      <c r="F53" s="2"/>
      <c r="G53" s="5">
        <f t="shared" si="35"/>
        <v>0.78770257744444439</v>
      </c>
      <c r="H53" s="2">
        <f t="shared" si="36"/>
        <v>164590.42766743651</v>
      </c>
      <c r="I53" s="2"/>
      <c r="J53" s="2"/>
      <c r="K53" s="2"/>
      <c r="L53" s="2"/>
      <c r="M53" s="2"/>
      <c r="N53" s="2"/>
      <c r="O53" s="2"/>
      <c r="P53" s="36">
        <f t="shared" si="37"/>
        <v>7</v>
      </c>
      <c r="Q53" s="6">
        <f t="shared" si="38"/>
        <v>2.3094688221709007E-3</v>
      </c>
      <c r="R53" s="6">
        <f t="shared" si="15"/>
        <v>2.7364301120148204E-2</v>
      </c>
      <c r="S53" s="6">
        <f t="shared" si="18"/>
        <v>2.7282054969569591E-2</v>
      </c>
      <c r="T53" s="6">
        <f t="shared" si="20"/>
        <v>2.9647343204603088E-2</v>
      </c>
      <c r="U53" s="6">
        <f t="shared" si="32"/>
        <v>3.4412469673301666E-2</v>
      </c>
      <c r="V53" s="2">
        <v>0</v>
      </c>
      <c r="W53" s="2">
        <v>66572882</v>
      </c>
      <c r="X53" s="2">
        <v>3097855</v>
      </c>
      <c r="Y53" s="2">
        <v>837380</v>
      </c>
      <c r="Z53" s="2">
        <v>114749</v>
      </c>
      <c r="AA53" s="2">
        <v>86492</v>
      </c>
      <c r="AB53" s="2">
        <v>70294</v>
      </c>
      <c r="AC53" s="2">
        <v>29678.26</v>
      </c>
      <c r="AD53" s="2">
        <v>857468.95</v>
      </c>
      <c r="AE53" s="4">
        <f t="shared" si="24"/>
        <v>9.5274327777777768E-3</v>
      </c>
      <c r="AF53" s="2">
        <v>58361069.409999996</v>
      </c>
      <c r="AG53" s="5">
        <f t="shared" si="16"/>
        <v>0.76740393701512155</v>
      </c>
      <c r="AH53" s="2">
        <f t="shared" si="7"/>
        <v>56058857.598954633</v>
      </c>
      <c r="AI53" s="2">
        <f t="shared" si="31"/>
        <v>13950000</v>
      </c>
      <c r="AJ53" s="5">
        <f t="shared" si="17"/>
        <v>1</v>
      </c>
      <c r="AK53" s="4">
        <f t="shared" si="33"/>
        <v>0.82322483808746005</v>
      </c>
      <c r="AL53" s="9">
        <v>1002000</v>
      </c>
      <c r="AM53" s="4">
        <f t="shared" si="34"/>
        <v>0.19090909222092278</v>
      </c>
      <c r="AN53" s="4"/>
      <c r="AO53" s="8">
        <f t="shared" si="39"/>
        <v>0.93905835790039527</v>
      </c>
      <c r="AP53" s="8">
        <f t="shared" si="40"/>
        <v>4.3697471732011377E-2</v>
      </c>
      <c r="AQ53" s="8">
        <f t="shared" si="41"/>
        <v>1.1811846867897846E-2</v>
      </c>
      <c r="AR53" s="8">
        <f t="shared" si="42"/>
        <v>1.6186171346872509E-3</v>
      </c>
      <c r="AS53" s="8">
        <f t="shared" si="43"/>
        <v>1.2200318365595316E-3</v>
      </c>
      <c r="AT53" s="8">
        <f t="shared" si="44"/>
        <v>9.9154740229287931E-4</v>
      </c>
    </row>
    <row r="54" spans="1:46" x14ac:dyDescent="0.25">
      <c r="A54">
        <f t="shared" si="14"/>
        <v>50</v>
      </c>
      <c r="B54" s="3">
        <v>40695</v>
      </c>
      <c r="C54" s="4">
        <v>6.5000000000000002E-2</v>
      </c>
      <c r="D54">
        <v>3013</v>
      </c>
      <c r="E54" s="2">
        <v>70445195.109999999</v>
      </c>
      <c r="F54" s="2"/>
      <c r="G54" s="5">
        <f t="shared" si="35"/>
        <v>0.78272439011111106</v>
      </c>
      <c r="H54" s="2">
        <f t="shared" si="36"/>
        <v>257878.81999669314</v>
      </c>
      <c r="I54" s="2"/>
      <c r="J54" s="2"/>
      <c r="K54" s="2"/>
      <c r="L54" s="2"/>
      <c r="M54" s="2"/>
      <c r="N54" s="2"/>
      <c r="O54" s="2"/>
      <c r="P54" s="36">
        <f t="shared" si="37"/>
        <v>11</v>
      </c>
      <c r="Q54" s="6">
        <f t="shared" si="38"/>
        <v>3.6375661375661378E-3</v>
      </c>
      <c r="R54" s="6">
        <f t="shared" si="15"/>
        <v>4.278799192873961E-2</v>
      </c>
      <c r="S54" s="6">
        <f t="shared" si="18"/>
        <v>2.9912368898825797E-2</v>
      </c>
      <c r="T54" s="6">
        <f t="shared" si="20"/>
        <v>3.3550366405810571E-2</v>
      </c>
      <c r="U54" s="6">
        <f t="shared" si="32"/>
        <v>3.4840763715928758E-2</v>
      </c>
      <c r="V54" s="2">
        <v>2004417.27</v>
      </c>
      <c r="W54" s="2">
        <v>66662843</v>
      </c>
      <c r="X54" s="2">
        <v>2393967</v>
      </c>
      <c r="Y54" s="2">
        <v>1062899</v>
      </c>
      <c r="Z54" s="2">
        <v>185551</v>
      </c>
      <c r="AA54" s="2">
        <v>0</v>
      </c>
      <c r="AB54" s="2">
        <v>42842</v>
      </c>
      <c r="AC54" s="2">
        <v>27826.28</v>
      </c>
      <c r="AD54" s="2">
        <v>885295.23</v>
      </c>
      <c r="AE54" s="4">
        <f t="shared" si="24"/>
        <v>9.8366136666666673E-3</v>
      </c>
      <c r="AF54" s="2">
        <v>56042383.770000003</v>
      </c>
      <c r="AG54" s="5">
        <f t="shared" si="16"/>
        <v>0.73691497396449712</v>
      </c>
      <c r="AH54" s="2">
        <f t="shared" si="7"/>
        <v>53831638.848106511</v>
      </c>
      <c r="AI54" s="2">
        <f t="shared" si="31"/>
        <v>13950000</v>
      </c>
      <c r="AJ54" s="5">
        <f t="shared" si="17"/>
        <v>1</v>
      </c>
      <c r="AK54" s="4">
        <f t="shared" si="33"/>
        <v>0.79554586629350599</v>
      </c>
      <c r="AL54" s="9">
        <v>1002000</v>
      </c>
      <c r="AM54" s="4">
        <f t="shared" si="34"/>
        <v>0.21867795689891156</v>
      </c>
      <c r="AN54" s="4"/>
      <c r="AO54" s="8">
        <f t="shared" si="39"/>
        <v>0.94630787658272697</v>
      </c>
      <c r="AP54" s="8">
        <f t="shared" si="40"/>
        <v>3.3983396543395564E-2</v>
      </c>
      <c r="AQ54" s="8">
        <f t="shared" si="41"/>
        <v>1.5088310825745969E-2</v>
      </c>
      <c r="AR54" s="8">
        <f t="shared" si="42"/>
        <v>2.6339766638485787E-3</v>
      </c>
      <c r="AS54" s="8">
        <f t="shared" si="43"/>
        <v>0</v>
      </c>
      <c r="AT54" s="8">
        <f t="shared" si="44"/>
        <v>6.0816071178598232E-4</v>
      </c>
    </row>
    <row r="55" spans="1:46" x14ac:dyDescent="0.25">
      <c r="A55">
        <f t="shared" si="14"/>
        <v>51</v>
      </c>
      <c r="B55" s="3">
        <v>40725</v>
      </c>
      <c r="C55" s="4">
        <v>6.5000000000000002E-2</v>
      </c>
      <c r="D55">
        <v>3004</v>
      </c>
      <c r="E55" s="2">
        <v>70010136.790000007</v>
      </c>
      <c r="F55" s="2"/>
      <c r="G55" s="5">
        <f t="shared" si="35"/>
        <v>0.77789040877777782</v>
      </c>
      <c r="H55" s="2">
        <f t="shared" si="36"/>
        <v>210423.74908396948</v>
      </c>
      <c r="I55" s="2"/>
      <c r="J55" s="2"/>
      <c r="K55" s="2"/>
      <c r="L55" s="2"/>
      <c r="M55" s="2"/>
      <c r="N55" s="2"/>
      <c r="O55" s="2"/>
      <c r="P55" s="36">
        <f t="shared" si="37"/>
        <v>9</v>
      </c>
      <c r="Q55" s="6">
        <f t="shared" si="38"/>
        <v>2.9870560902754734E-3</v>
      </c>
      <c r="R55" s="6">
        <f t="shared" si="15"/>
        <v>3.5261612038238743E-2</v>
      </c>
      <c r="S55" s="6">
        <f t="shared" si="18"/>
        <v>3.5137968362375517E-2</v>
      </c>
      <c r="T55" s="6">
        <f t="shared" si="20"/>
        <v>2.9898582337891222E-2</v>
      </c>
      <c r="U55" s="6">
        <f t="shared" si="32"/>
        <v>3.4941734471858887E-2</v>
      </c>
      <c r="V55" s="2">
        <v>0</v>
      </c>
      <c r="W55" s="2">
        <v>66416770</v>
      </c>
      <c r="X55" s="2">
        <v>2189760</v>
      </c>
      <c r="Y55" s="2">
        <v>1112641</v>
      </c>
      <c r="Z55" s="2">
        <v>200398</v>
      </c>
      <c r="AA55" s="2">
        <v>19899</v>
      </c>
      <c r="AB55" s="2">
        <v>0</v>
      </c>
      <c r="AC55" s="2">
        <v>42057</v>
      </c>
      <c r="AD55" s="2">
        <v>927352.23</v>
      </c>
      <c r="AE55" s="4">
        <f t="shared" si="24"/>
        <v>1.0303913666666666E-2</v>
      </c>
      <c r="AF55" s="2">
        <v>55760951.039999999</v>
      </c>
      <c r="AG55" s="5">
        <f t="shared" si="16"/>
        <v>0.73321434635108484</v>
      </c>
      <c r="AH55" s="2">
        <f t="shared" si="7"/>
        <v>53561308.000946745</v>
      </c>
      <c r="AI55" s="2">
        <f t="shared" si="31"/>
        <v>13950000</v>
      </c>
      <c r="AJ55" s="5">
        <f t="shared" si="17"/>
        <v>1</v>
      </c>
      <c r="AK55" s="4">
        <f t="shared" si="33"/>
        <v>0.79646967705917537</v>
      </c>
      <c r="AL55" s="9">
        <v>1002000</v>
      </c>
      <c r="AM55" s="4">
        <f t="shared" si="34"/>
        <v>0.21784253608512349</v>
      </c>
      <c r="AN55" s="4"/>
      <c r="AO55" s="8">
        <f t="shared" si="39"/>
        <v>0.94867362135316857</v>
      </c>
      <c r="AP55" s="8">
        <f t="shared" si="40"/>
        <v>3.1277756342175542E-2</v>
      </c>
      <c r="AQ55" s="8">
        <f t="shared" si="41"/>
        <v>1.5892570005075688E-2</v>
      </c>
      <c r="AR55" s="8">
        <f t="shared" si="42"/>
        <v>2.862414061568069E-3</v>
      </c>
      <c r="AS55" s="8">
        <f t="shared" si="43"/>
        <v>2.8423026882076172E-4</v>
      </c>
      <c r="AT55" s="8">
        <f t="shared" si="44"/>
        <v>0</v>
      </c>
    </row>
    <row r="56" spans="1:46" x14ac:dyDescent="0.25">
      <c r="A56">
        <f t="shared" si="14"/>
        <v>52</v>
      </c>
      <c r="B56" s="3">
        <v>40756</v>
      </c>
      <c r="C56" s="4">
        <v>6.5000000000000002E-2</v>
      </c>
      <c r="D56">
        <v>2996</v>
      </c>
      <c r="E56" s="2">
        <v>69589398.879999995</v>
      </c>
      <c r="F56" s="2"/>
      <c r="G56" s="5">
        <f t="shared" si="35"/>
        <v>0.77321554311111107</v>
      </c>
      <c r="H56" s="2">
        <f t="shared" si="36"/>
        <v>186445.10463382158</v>
      </c>
      <c r="I56" s="2"/>
      <c r="J56" s="2"/>
      <c r="K56" s="2"/>
      <c r="L56" s="2"/>
      <c r="M56" s="2"/>
      <c r="N56" s="2"/>
      <c r="O56" s="2"/>
      <c r="P56" s="36">
        <f t="shared" si="37"/>
        <v>8</v>
      </c>
      <c r="Q56" s="6">
        <f t="shared" si="38"/>
        <v>2.6631158455392807E-3</v>
      </c>
      <c r="R56" s="6">
        <f t="shared" ref="R56" si="45">1-(+Q56-1)^12</f>
        <v>3.1493436286575638E-2</v>
      </c>
      <c r="S56" s="6">
        <f t="shared" si="18"/>
        <v>3.6514346751184666E-2</v>
      </c>
      <c r="T56" s="6">
        <f t="shared" si="20"/>
        <v>3.1898200860377125E-2</v>
      </c>
      <c r="U56" s="6">
        <f t="shared" si="32"/>
        <v>3.5032333067009307E-2</v>
      </c>
      <c r="V56" s="2">
        <v>0</v>
      </c>
      <c r="W56" s="2">
        <v>65937589</v>
      </c>
      <c r="X56" s="2">
        <v>2410768</v>
      </c>
      <c r="Y56" s="2">
        <v>973281</v>
      </c>
      <c r="Z56" s="2">
        <v>197093</v>
      </c>
      <c r="AA56" s="2">
        <v>0</v>
      </c>
      <c r="AB56" s="2">
        <v>22698</v>
      </c>
      <c r="AC56" s="2">
        <v>20144.16</v>
      </c>
      <c r="AD56" s="2">
        <v>947496.39</v>
      </c>
      <c r="AE56" s="4">
        <f t="shared" si="24"/>
        <v>1.0527737666666667E-2</v>
      </c>
      <c r="AF56" s="2">
        <v>55462093.770000003</v>
      </c>
      <c r="AG56" s="5">
        <f t="shared" si="16"/>
        <v>0.72928459921104538</v>
      </c>
      <c r="AH56" s="2">
        <f t="shared" si="7"/>
        <v>53274239.972366869</v>
      </c>
      <c r="AI56" s="2">
        <f t="shared" si="31"/>
        <v>13950000</v>
      </c>
      <c r="AJ56" s="5">
        <f t="shared" si="17"/>
        <v>1</v>
      </c>
      <c r="AK56" s="4">
        <f t="shared" si="33"/>
        <v>0.79699055693294429</v>
      </c>
      <c r="AL56" s="9">
        <v>1002000</v>
      </c>
      <c r="AM56" s="4">
        <f t="shared" si="34"/>
        <v>0.21740818793519079</v>
      </c>
      <c r="AN56" s="4"/>
      <c r="AO56" s="8">
        <f t="shared" si="39"/>
        <v>0.9475234742823806</v>
      </c>
      <c r="AP56" s="8">
        <f t="shared" si="40"/>
        <v>3.4642747872519059E-2</v>
      </c>
      <c r="AQ56" s="8">
        <f t="shared" si="41"/>
        <v>1.3986052698606097E-2</v>
      </c>
      <c r="AR56" s="8">
        <f t="shared" si="42"/>
        <v>2.8322273675602128E-3</v>
      </c>
      <c r="AS56" s="8">
        <f t="shared" si="43"/>
        <v>0</v>
      </c>
      <c r="AT56" s="8">
        <f t="shared" si="44"/>
        <v>3.2617037027637567E-4</v>
      </c>
    </row>
    <row r="57" spans="1:46" x14ac:dyDescent="0.25">
      <c r="A57">
        <f t="shared" si="14"/>
        <v>53</v>
      </c>
      <c r="B57" s="3">
        <v>40787</v>
      </c>
      <c r="C57" s="4">
        <v>6.5000000000000002E-2</v>
      </c>
      <c r="D57">
        <v>2976</v>
      </c>
      <c r="E57" s="2">
        <v>69056810.930000007</v>
      </c>
      <c r="F57" s="2"/>
      <c r="G57" s="5">
        <f t="shared" si="35"/>
        <v>0.76729789922222236</v>
      </c>
      <c r="H57" s="2">
        <f t="shared" si="36"/>
        <v>464548.72416555404</v>
      </c>
      <c r="I57" s="2"/>
      <c r="J57" s="2"/>
      <c r="K57" s="2"/>
      <c r="L57" s="2"/>
      <c r="M57" s="2"/>
      <c r="N57" s="2"/>
      <c r="O57" s="2"/>
      <c r="P57" s="36">
        <f t="shared" si="37"/>
        <v>20</v>
      </c>
      <c r="Q57" s="6">
        <f t="shared" si="38"/>
        <v>6.6755674232309749E-3</v>
      </c>
      <c r="R57" s="6">
        <f t="shared" ref="R57:R58" si="46">1-(+Q57-1)^12</f>
        <v>7.7230111881807617E-2</v>
      </c>
      <c r="S57" s="6">
        <f t="shared" si="18"/>
        <v>4.7995053402207333E-2</v>
      </c>
      <c r="T57" s="6">
        <f t="shared" si="20"/>
        <v>3.8953711150516566E-2</v>
      </c>
      <c r="U57" s="6">
        <f t="shared" si="32"/>
        <v>3.8304003668581298E-2</v>
      </c>
      <c r="V57" s="2">
        <v>0</v>
      </c>
      <c r="W57" s="2">
        <v>65372575</v>
      </c>
      <c r="X57" s="2">
        <v>2639555</v>
      </c>
      <c r="Y57" s="2">
        <v>819574</v>
      </c>
      <c r="Z57" s="2">
        <v>62347</v>
      </c>
      <c r="AA57" s="2">
        <v>92091</v>
      </c>
      <c r="AB57" s="2">
        <v>22698</v>
      </c>
      <c r="AC57" s="2">
        <v>0</v>
      </c>
      <c r="AD57" s="2">
        <v>947496.39</v>
      </c>
      <c r="AE57" s="4">
        <f t="shared" si="24"/>
        <v>1.0527737666666667E-2</v>
      </c>
      <c r="AF57" s="2">
        <v>55077640.200000003</v>
      </c>
      <c r="AG57" s="5">
        <f t="shared" si="16"/>
        <v>0.72422932544378704</v>
      </c>
      <c r="AH57" s="2">
        <f t="shared" si="7"/>
        <v>52904952.223668642</v>
      </c>
      <c r="AI57" s="2">
        <f t="shared" si="31"/>
        <v>13950000</v>
      </c>
      <c r="AJ57" s="5">
        <f t="shared" si="17"/>
        <v>1</v>
      </c>
      <c r="AK57" s="4">
        <f t="shared" si="33"/>
        <v>0.7975699928545773</v>
      </c>
      <c r="AL57" s="9">
        <v>1002000</v>
      </c>
      <c r="AM57" s="4">
        <f t="shared" si="34"/>
        <v>0.21693979968443355</v>
      </c>
      <c r="AN57" s="4"/>
      <c r="AO57" s="8">
        <f t="shared" si="39"/>
        <v>0.94664920258575846</v>
      </c>
      <c r="AP57" s="8">
        <f t="shared" si="40"/>
        <v>3.8222949546216467E-2</v>
      </c>
      <c r="AQ57" s="8">
        <f t="shared" si="41"/>
        <v>1.186811248539652E-2</v>
      </c>
      <c r="AR57" s="8">
        <f t="shared" si="42"/>
        <v>9.0283636270430351E-4</v>
      </c>
      <c r="AS57" s="8">
        <f t="shared" si="43"/>
        <v>1.3335541963174172E-3</v>
      </c>
      <c r="AT57" s="8">
        <f t="shared" si="44"/>
        <v>3.2868589925196532E-4</v>
      </c>
    </row>
    <row r="58" spans="1:46" x14ac:dyDescent="0.25">
      <c r="A58">
        <f t="shared" si="14"/>
        <v>54</v>
      </c>
      <c r="B58" s="3">
        <v>40817</v>
      </c>
      <c r="C58" s="4">
        <v>6.5000000000000002E-2</v>
      </c>
      <c r="D58">
        <v>2964</v>
      </c>
      <c r="E58" s="2">
        <v>68507076.349999994</v>
      </c>
      <c r="F58" s="2"/>
      <c r="G58" s="5">
        <f t="shared" si="35"/>
        <v>0.76118973722222216</v>
      </c>
      <c r="H58" s="2">
        <f t="shared" si="36"/>
        <v>278454.88278225809</v>
      </c>
      <c r="I58" s="2"/>
      <c r="J58" s="2"/>
      <c r="K58" s="2"/>
      <c r="L58" s="2"/>
      <c r="M58" s="2"/>
      <c r="N58" s="2"/>
      <c r="O58" s="2"/>
      <c r="P58" s="36">
        <f t="shared" si="37"/>
        <v>12</v>
      </c>
      <c r="Q58" s="6">
        <f t="shared" si="38"/>
        <v>4.0322580645161289E-3</v>
      </c>
      <c r="R58" s="6">
        <f t="shared" si="46"/>
        <v>4.7328289220180508E-2</v>
      </c>
      <c r="S58" s="6">
        <f t="shared" si="18"/>
        <v>5.2017279129521254E-2</v>
      </c>
      <c r="T58" s="6">
        <f t="shared" si="20"/>
        <v>4.3577623745948389E-2</v>
      </c>
      <c r="U58" s="6">
        <f t="shared" si="32"/>
        <v>3.8143393756692852E-2</v>
      </c>
      <c r="V58" s="2">
        <v>0</v>
      </c>
      <c r="W58" s="2">
        <v>64555048</v>
      </c>
      <c r="X58" s="2">
        <v>2790521</v>
      </c>
      <c r="Y58" s="2">
        <v>892943</v>
      </c>
      <c r="Z58" s="2">
        <v>97493</v>
      </c>
      <c r="AA58" s="2">
        <v>82592</v>
      </c>
      <c r="AB58" s="2">
        <v>68335</v>
      </c>
      <c r="AC58" s="2">
        <v>0</v>
      </c>
      <c r="AD58" s="2">
        <v>947496.39</v>
      </c>
      <c r="AE58" s="4">
        <f t="shared" si="24"/>
        <v>1.0527737666666667E-2</v>
      </c>
      <c r="AF58" s="2">
        <v>54675375.630000003</v>
      </c>
      <c r="AG58" s="5">
        <f t="shared" si="16"/>
        <v>0.71893985049309672</v>
      </c>
      <c r="AH58" s="2">
        <f t="shared" si="7"/>
        <v>52518556.078520715</v>
      </c>
      <c r="AI58" s="2">
        <f t="shared" si="31"/>
        <v>13950000</v>
      </c>
      <c r="AJ58" s="5">
        <f t="shared" si="17"/>
        <v>1</v>
      </c>
      <c r="AK58" s="4">
        <f t="shared" si="33"/>
        <v>0.79809821909003431</v>
      </c>
      <c r="AL58" s="9">
        <v>900000</v>
      </c>
      <c r="AM58" s="4">
        <f t="shared" si="34"/>
        <v>0.21503910989773234</v>
      </c>
      <c r="AN58" s="4"/>
      <c r="AO58" s="8">
        <f t="shared" si="39"/>
        <v>0.9423121148856326</v>
      </c>
      <c r="AP58" s="8">
        <f t="shared" si="40"/>
        <v>4.0733324915857398E-2</v>
      </c>
      <c r="AQ58" s="8">
        <f t="shared" si="41"/>
        <v>1.3034317731470379E-2</v>
      </c>
      <c r="AR58" s="8">
        <f t="shared" si="42"/>
        <v>1.4231084611159297E-3</v>
      </c>
      <c r="AS58" s="8">
        <f t="shared" si="43"/>
        <v>1.2055980841751395E-3</v>
      </c>
      <c r="AT58" s="8">
        <f t="shared" si="44"/>
        <v>9.9748819597670658E-4</v>
      </c>
    </row>
    <row r="59" spans="1:46" x14ac:dyDescent="0.25">
      <c r="A59">
        <f t="shared" si="14"/>
        <v>55</v>
      </c>
      <c r="B59" s="3">
        <v>40848</v>
      </c>
      <c r="C59" s="4">
        <v>6.5000000000000002E-2</v>
      </c>
      <c r="D59">
        <v>2945</v>
      </c>
      <c r="E59" s="2">
        <v>67896314.120000005</v>
      </c>
      <c r="F59" s="2"/>
      <c r="G59" s="5">
        <f t="shared" si="35"/>
        <v>0.75440349022222231</v>
      </c>
      <c r="H59" s="2">
        <f t="shared" si="36"/>
        <v>439147.92532051279</v>
      </c>
      <c r="I59" s="2"/>
      <c r="J59" s="2"/>
      <c r="K59" s="2"/>
      <c r="L59" s="2"/>
      <c r="M59" s="2"/>
      <c r="N59" s="2"/>
      <c r="O59" s="2"/>
      <c r="P59" s="36">
        <f t="shared" si="37"/>
        <v>19</v>
      </c>
      <c r="Q59" s="6">
        <f t="shared" si="38"/>
        <v>6.41025641025641E-3</v>
      </c>
      <c r="R59" s="6">
        <f t="shared" ref="R59" si="47">1-(+Q59-1)^12</f>
        <v>7.4268167457253953E-2</v>
      </c>
      <c r="S59" s="6">
        <f t="shared" si="18"/>
        <v>6.6275522853080693E-2</v>
      </c>
      <c r="T59" s="6">
        <f t="shared" si="20"/>
        <v>5.1394934802132676E-2</v>
      </c>
      <c r="U59" s="6">
        <f t="shared" si="32"/>
        <v>4.052113900336788E-2</v>
      </c>
      <c r="V59" s="2">
        <v>0</v>
      </c>
      <c r="W59" s="2">
        <v>64110246</v>
      </c>
      <c r="X59" s="2">
        <v>2838802</v>
      </c>
      <c r="Y59" s="2">
        <v>632011</v>
      </c>
      <c r="Z59" s="2">
        <v>192870</v>
      </c>
      <c r="AA59" s="2">
        <v>27699</v>
      </c>
      <c r="AB59" s="2">
        <v>60030</v>
      </c>
      <c r="AC59" s="2">
        <v>14511.61</v>
      </c>
      <c r="AD59" s="2">
        <v>964945.8</v>
      </c>
      <c r="AE59" s="4">
        <f t="shared" si="24"/>
        <v>1.0721620000000001E-2</v>
      </c>
      <c r="AF59" s="2">
        <v>54169927.640000001</v>
      </c>
      <c r="AG59" s="5">
        <f t="shared" si="16"/>
        <v>0.71229359158448391</v>
      </c>
      <c r="AH59" s="2">
        <f t="shared" si="7"/>
        <v>52033046.865246549</v>
      </c>
      <c r="AI59" s="2">
        <f t="shared" si="31"/>
        <v>13950000</v>
      </c>
      <c r="AJ59" s="5">
        <f t="shared" si="17"/>
        <v>1</v>
      </c>
      <c r="AK59" s="4">
        <f t="shared" si="33"/>
        <v>0.7978331127704521</v>
      </c>
      <c r="AL59" s="9">
        <v>900000</v>
      </c>
      <c r="AM59" s="4">
        <f t="shared" si="34"/>
        <v>0.21542239324139623</v>
      </c>
      <c r="AN59" s="4"/>
      <c r="AO59" s="8">
        <f t="shared" si="39"/>
        <v>0.94423750141563645</v>
      </c>
      <c r="AP59" s="8">
        <f t="shared" si="40"/>
        <v>4.1810841086052167E-2</v>
      </c>
      <c r="AQ59" s="8">
        <f t="shared" si="41"/>
        <v>9.308472900060278E-3</v>
      </c>
      <c r="AR59" s="8">
        <f t="shared" si="42"/>
        <v>2.8406549383390885E-3</v>
      </c>
      <c r="AS59" s="8">
        <f t="shared" si="43"/>
        <v>4.0796029002465085E-4</v>
      </c>
      <c r="AT59" s="8">
        <f t="shared" si="44"/>
        <v>8.8414225099028095E-4</v>
      </c>
    </row>
    <row r="60" spans="1:46" x14ac:dyDescent="0.25">
      <c r="A60">
        <f t="shared" si="14"/>
        <v>56</v>
      </c>
      <c r="B60" s="3">
        <v>40878</v>
      </c>
      <c r="C60" s="4">
        <v>6.5000000000000002E-2</v>
      </c>
      <c r="D60">
        <v>2932</v>
      </c>
      <c r="E60" s="2">
        <v>67444283.909999996</v>
      </c>
      <c r="F60" s="2"/>
      <c r="G60" s="5">
        <f t="shared" si="35"/>
        <v>0.74938093233333325</v>
      </c>
      <c r="H60" s="2">
        <f t="shared" si="36"/>
        <v>299712.08270288625</v>
      </c>
      <c r="I60" s="2"/>
      <c r="J60" s="2"/>
      <c r="K60" s="2"/>
      <c r="L60" s="2"/>
      <c r="M60" s="2"/>
      <c r="N60" s="2"/>
      <c r="O60" s="2"/>
      <c r="P60" s="36">
        <f t="shared" si="37"/>
        <v>13</v>
      </c>
      <c r="Q60" s="6">
        <f t="shared" si="38"/>
        <v>4.4142614601018672E-3</v>
      </c>
      <c r="R60" s="6">
        <f t="shared" ref="R60:R67" si="48">1-(+Q60-1)^12</f>
        <v>5.1703817712777322E-2</v>
      </c>
      <c r="S60" s="6">
        <f t="shared" si="18"/>
        <v>5.7766758130070595E-2</v>
      </c>
      <c r="T60" s="6">
        <f t="shared" si="20"/>
        <v>5.2880905766138964E-2</v>
      </c>
      <c r="U60" s="6">
        <f t="shared" si="32"/>
        <v>4.3215636085974764E-2</v>
      </c>
      <c r="V60" s="2">
        <v>0</v>
      </c>
      <c r="W60" s="2">
        <v>63064971</v>
      </c>
      <c r="X60" s="2">
        <v>3056878</v>
      </c>
      <c r="Y60" s="2">
        <v>935099</v>
      </c>
      <c r="Z60" s="2">
        <v>271109</v>
      </c>
      <c r="AA60" s="2">
        <v>21542</v>
      </c>
      <c r="AB60" s="2">
        <v>0</v>
      </c>
      <c r="AC60" s="2">
        <v>60029.7</v>
      </c>
      <c r="AD60" s="2">
        <v>1024975.5</v>
      </c>
      <c r="AE60" s="4">
        <f t="shared" si="24"/>
        <v>1.1388616666666667E-2</v>
      </c>
      <c r="AF60" s="2">
        <v>53873907.280000001</v>
      </c>
      <c r="AG60" s="5">
        <f t="shared" si="16"/>
        <v>0.70840114766600926</v>
      </c>
      <c r="AH60" s="2">
        <f t="shared" si="7"/>
        <v>51748703.837001972</v>
      </c>
      <c r="AI60" s="2">
        <f t="shared" si="31"/>
        <v>13950000</v>
      </c>
      <c r="AJ60" s="5">
        <f t="shared" si="17"/>
        <v>1</v>
      </c>
      <c r="AK60" s="4">
        <f t="shared" si="33"/>
        <v>0.79879130085940597</v>
      </c>
      <c r="AL60" s="9">
        <v>900000</v>
      </c>
      <c r="AM60" s="4">
        <f t="shared" si="34"/>
        <v>0.21455304721315993</v>
      </c>
      <c r="AN60" s="4"/>
      <c r="AO60" s="8">
        <f t="shared" si="39"/>
        <v>0.93506769356697594</v>
      </c>
      <c r="AP60" s="8">
        <f t="shared" si="40"/>
        <v>4.5324493385965885E-2</v>
      </c>
      <c r="AQ60" s="8">
        <f t="shared" si="41"/>
        <v>1.3864762820342621E-2</v>
      </c>
      <c r="AR60" s="8">
        <f t="shared" si="42"/>
        <v>4.0197476240058727E-3</v>
      </c>
      <c r="AS60" s="8">
        <f t="shared" si="43"/>
        <v>3.1940438464357331E-4</v>
      </c>
      <c r="AT60" s="8">
        <f t="shared" si="44"/>
        <v>0</v>
      </c>
    </row>
    <row r="61" spans="1:46" x14ac:dyDescent="0.25">
      <c r="A61">
        <f t="shared" si="14"/>
        <v>57</v>
      </c>
      <c r="B61" s="3">
        <v>40909</v>
      </c>
      <c r="C61" s="4">
        <v>6.5000000000000002E-2</v>
      </c>
      <c r="D61">
        <v>2925</v>
      </c>
      <c r="E61" s="2">
        <v>67088113.789999999</v>
      </c>
      <c r="F61" s="2"/>
      <c r="G61" s="5">
        <f t="shared" si="35"/>
        <v>0.74542348655555557</v>
      </c>
      <c r="H61" s="2">
        <f t="shared" si="36"/>
        <v>161019.77741132333</v>
      </c>
      <c r="I61" s="2"/>
      <c r="J61" s="2"/>
      <c r="K61" s="2"/>
      <c r="L61" s="2"/>
      <c r="M61" s="2"/>
      <c r="N61" s="2"/>
      <c r="O61" s="2"/>
      <c r="P61" s="36">
        <f t="shared" si="37"/>
        <v>7</v>
      </c>
      <c r="Q61" s="6">
        <f t="shared" si="38"/>
        <v>2.3874488403819918E-3</v>
      </c>
      <c r="R61" s="6">
        <f t="shared" si="48"/>
        <v>2.8276169688679853E-2</v>
      </c>
      <c r="S61" s="6">
        <f t="shared" si="18"/>
        <v>5.1416051619570378E-2</v>
      </c>
      <c r="T61" s="6">
        <f t="shared" si="20"/>
        <v>5.1716665374545813E-2</v>
      </c>
      <c r="U61" s="6">
        <f t="shared" si="32"/>
        <v>4.0807623856218521E-2</v>
      </c>
      <c r="V61" s="2">
        <v>0</v>
      </c>
      <c r="W61" s="2">
        <v>63116240</v>
      </c>
      <c r="X61" s="2">
        <v>2788661</v>
      </c>
      <c r="Y61" s="2">
        <v>896614</v>
      </c>
      <c r="Z61" s="2">
        <v>178415</v>
      </c>
      <c r="AA61" s="2">
        <v>13500</v>
      </c>
      <c r="AB61" s="2">
        <v>0</v>
      </c>
      <c r="AC61" s="2">
        <v>0</v>
      </c>
      <c r="AD61" s="2">
        <v>1024975.5</v>
      </c>
      <c r="AE61" s="4">
        <f t="shared" si="24"/>
        <v>1.1388616666666667E-2</v>
      </c>
      <c r="AF61" s="2">
        <v>53632466.549999997</v>
      </c>
      <c r="AG61" s="5">
        <f t="shared" si="16"/>
        <v>0.70522638461538456</v>
      </c>
      <c r="AH61" s="2">
        <f t="shared" si="7"/>
        <v>51516787.396153845</v>
      </c>
      <c r="AI61" s="2">
        <f t="shared" si="31"/>
        <v>13950000</v>
      </c>
      <c r="AJ61" s="5">
        <f t="shared" si="17"/>
        <v>1</v>
      </c>
      <c r="AK61" s="4">
        <f t="shared" si="33"/>
        <v>0.79943321581347437</v>
      </c>
      <c r="AL61" s="9">
        <v>900000</v>
      </c>
      <c r="AM61" s="4">
        <f t="shared" si="34"/>
        <v>0.21398197726852508</v>
      </c>
      <c r="AN61" s="4"/>
      <c r="AO61" s="8">
        <f t="shared" si="39"/>
        <v>0.94079616245535225</v>
      </c>
      <c r="AP61" s="8">
        <f t="shared" si="40"/>
        <v>4.15671397280463E-2</v>
      </c>
      <c r="AQ61" s="8">
        <f t="shared" si="41"/>
        <v>1.3364722144470952E-2</v>
      </c>
      <c r="AR61" s="8">
        <f t="shared" si="42"/>
        <v>2.6594129708054802E-3</v>
      </c>
      <c r="AS61" s="8">
        <f t="shared" si="43"/>
        <v>2.0122789622999178E-4</v>
      </c>
      <c r="AT61" s="8">
        <f t="shared" si="44"/>
        <v>0</v>
      </c>
    </row>
    <row r="62" spans="1:46" x14ac:dyDescent="0.25">
      <c r="A62">
        <f t="shared" si="14"/>
        <v>58</v>
      </c>
      <c r="B62" s="3">
        <v>40940</v>
      </c>
      <c r="C62" s="4">
        <v>6.25E-2</v>
      </c>
      <c r="D62">
        <v>2909</v>
      </c>
      <c r="E62" s="2">
        <v>66574362.75</v>
      </c>
      <c r="F62" s="2"/>
      <c r="G62" s="5">
        <f t="shared" si="35"/>
        <v>0.73971514166666663</v>
      </c>
      <c r="H62" s="2">
        <f t="shared" si="36"/>
        <v>366977.71645811963</v>
      </c>
      <c r="I62" s="2"/>
      <c r="J62" s="2"/>
      <c r="K62" s="2"/>
      <c r="L62" s="2"/>
      <c r="M62" s="2"/>
      <c r="N62" s="2"/>
      <c r="O62" s="2"/>
      <c r="P62" s="36">
        <f t="shared" si="37"/>
        <v>16</v>
      </c>
      <c r="Q62" s="6">
        <f t="shared" si="38"/>
        <v>5.4700854700854701E-3</v>
      </c>
      <c r="R62" s="6">
        <f t="shared" si="48"/>
        <v>6.3701753699276886E-2</v>
      </c>
      <c r="S62" s="6">
        <f t="shared" si="18"/>
        <v>4.7893913700244685E-2</v>
      </c>
      <c r="T62" s="6">
        <f t="shared" si="20"/>
        <v>5.7084718276662692E-2</v>
      </c>
      <c r="U62" s="6">
        <f t="shared" si="32"/>
        <v>4.4491459568519909E-2</v>
      </c>
      <c r="V62" s="2">
        <v>0</v>
      </c>
      <c r="W62" s="2">
        <v>62453703</v>
      </c>
      <c r="X62" s="2">
        <v>2890405</v>
      </c>
      <c r="Y62" s="2">
        <v>955883</v>
      </c>
      <c r="Z62" s="2">
        <v>111576</v>
      </c>
      <c r="AA62" s="2">
        <v>77702</v>
      </c>
      <c r="AB62" s="2">
        <v>13500</v>
      </c>
      <c r="AC62" s="2">
        <v>21541.97</v>
      </c>
      <c r="AD62" s="2">
        <v>1026373.33</v>
      </c>
      <c r="AE62" s="4">
        <f t="shared" si="24"/>
        <v>1.1404148111111111E-2</v>
      </c>
      <c r="AF62" s="2">
        <v>53215969.600000001</v>
      </c>
      <c r="AG62" s="5">
        <f t="shared" si="16"/>
        <v>0.69974976462853389</v>
      </c>
      <c r="AH62" s="2">
        <f t="shared" si="7"/>
        <v>51116720.306114398</v>
      </c>
      <c r="AI62" s="2">
        <f t="shared" si="31"/>
        <v>13950000</v>
      </c>
      <c r="AJ62" s="5">
        <f t="shared" si="17"/>
        <v>1</v>
      </c>
      <c r="AK62" s="4">
        <f t="shared" si="33"/>
        <v>0.79934628589441514</v>
      </c>
      <c r="AL62" s="9">
        <v>900000</v>
      </c>
      <c r="AM62" s="4">
        <f t="shared" si="34"/>
        <v>0.21417243156413091</v>
      </c>
      <c r="AN62" s="4"/>
      <c r="AO62" s="8">
        <f t="shared" si="39"/>
        <v>0.93810440566327469</v>
      </c>
      <c r="AP62" s="8">
        <f t="shared" si="40"/>
        <v>4.3416187261965195E-2</v>
      </c>
      <c r="AQ62" s="8">
        <f t="shared" si="41"/>
        <v>1.4358124667141481E-2</v>
      </c>
      <c r="AR62" s="8">
        <f t="shared" si="42"/>
        <v>1.675960465727477E-3</v>
      </c>
      <c r="AS62" s="8">
        <f t="shared" si="43"/>
        <v>1.1671459821821577E-3</v>
      </c>
      <c r="AT62" s="8">
        <f t="shared" si="44"/>
        <v>2.0278076187819013E-4</v>
      </c>
    </row>
    <row r="63" spans="1:46" x14ac:dyDescent="0.25">
      <c r="A63">
        <f t="shared" si="14"/>
        <v>59</v>
      </c>
      <c r="B63" s="3">
        <v>40969</v>
      </c>
      <c r="C63" s="4">
        <v>6.25E-2</v>
      </c>
      <c r="D63">
        <v>2898</v>
      </c>
      <c r="E63" s="2">
        <v>66159215.369999997</v>
      </c>
      <c r="F63" s="2"/>
      <c r="G63" s="5">
        <f t="shared" si="35"/>
        <v>0.73510239300000002</v>
      </c>
      <c r="H63" s="2">
        <f t="shared" si="36"/>
        <v>251742.17609144037</v>
      </c>
      <c r="I63" s="2"/>
      <c r="J63" s="2"/>
      <c r="K63" s="2"/>
      <c r="L63" s="2"/>
      <c r="M63" s="2"/>
      <c r="N63" s="2"/>
      <c r="O63" s="2"/>
      <c r="P63" s="36">
        <f t="shared" si="37"/>
        <v>11</v>
      </c>
      <c r="Q63" s="6">
        <f t="shared" si="38"/>
        <v>3.7813681677552427E-3</v>
      </c>
      <c r="R63" s="6">
        <f t="shared" si="48"/>
        <v>4.4444495373767046E-2</v>
      </c>
      <c r="S63" s="6">
        <f t="shared" si="18"/>
        <v>4.5474139587241259E-2</v>
      </c>
      <c r="T63" s="6">
        <f t="shared" si="20"/>
        <v>5.162044885865593E-2</v>
      </c>
      <c r="U63" s="6">
        <f t="shared" si="32"/>
        <v>4.5287080004586248E-2</v>
      </c>
      <c r="V63" s="2">
        <v>1005096.76</v>
      </c>
      <c r="W63" s="2">
        <v>60887290</v>
      </c>
      <c r="X63" s="2">
        <v>3776494</v>
      </c>
      <c r="Y63" s="2">
        <v>101302</v>
      </c>
      <c r="Z63" s="2">
        <v>296621</v>
      </c>
      <c r="AA63" s="2">
        <v>43503</v>
      </c>
      <c r="AB63" s="2">
        <v>57910</v>
      </c>
      <c r="AC63" s="2">
        <v>13499.59</v>
      </c>
      <c r="AD63" s="2">
        <v>1039872.9199999999</v>
      </c>
      <c r="AE63" s="4">
        <f t="shared" si="24"/>
        <v>1.1554143555555554E-2</v>
      </c>
      <c r="AF63" s="2">
        <v>52293173.079999998</v>
      </c>
      <c r="AG63" s="5">
        <f t="shared" si="16"/>
        <v>0.68761568809993423</v>
      </c>
      <c r="AH63" s="2">
        <f t="shared" si="7"/>
        <v>50230326.015700199</v>
      </c>
      <c r="AI63" s="2">
        <f t="shared" si="31"/>
        <v>13950000</v>
      </c>
      <c r="AJ63" s="5">
        <f t="shared" si="17"/>
        <v>1</v>
      </c>
      <c r="AK63" s="4">
        <f t="shared" si="33"/>
        <v>0.79041404568580209</v>
      </c>
      <c r="AL63" s="9">
        <v>900000</v>
      </c>
      <c r="AM63" s="4">
        <f t="shared" si="34"/>
        <v>0.22318950137815097</v>
      </c>
      <c r="AN63" s="4"/>
      <c r="AO63" s="8">
        <f t="shared" si="39"/>
        <v>0.92031457234617442</v>
      </c>
      <c r="AP63" s="8">
        <f t="shared" si="40"/>
        <v>5.7081904295262505E-2</v>
      </c>
      <c r="AQ63" s="8">
        <f t="shared" si="41"/>
        <v>1.5311850274139672E-3</v>
      </c>
      <c r="AR63" s="8">
        <f t="shared" si="42"/>
        <v>4.4834419262853482E-3</v>
      </c>
      <c r="AS63" s="8">
        <f t="shared" si="43"/>
        <v>6.5755011991460994E-4</v>
      </c>
      <c r="AT63" s="8">
        <f t="shared" si="44"/>
        <v>8.7531267830391146E-4</v>
      </c>
    </row>
    <row r="64" spans="1:46" x14ac:dyDescent="0.25">
      <c r="A64">
        <f t="shared" si="14"/>
        <v>60</v>
      </c>
      <c r="B64" s="3">
        <v>41000</v>
      </c>
      <c r="C64" s="4">
        <v>6.25E-2</v>
      </c>
      <c r="D64">
        <v>2887</v>
      </c>
      <c r="E64" s="2">
        <v>65710211.909999996</v>
      </c>
      <c r="F64" s="2"/>
      <c r="G64" s="5">
        <f t="shared" si="35"/>
        <v>0.73011346566666657</v>
      </c>
      <c r="H64" s="2">
        <f t="shared" si="36"/>
        <v>251121.93549689441</v>
      </c>
      <c r="I64" s="2"/>
      <c r="J64" s="2"/>
      <c r="K64" s="2"/>
      <c r="L64" s="2"/>
      <c r="M64" s="2"/>
      <c r="N64" s="2"/>
      <c r="O64" s="2"/>
      <c r="P64" s="36">
        <f t="shared" si="37"/>
        <v>11</v>
      </c>
      <c r="Q64" s="6">
        <f t="shared" si="38"/>
        <v>3.795721187025535E-3</v>
      </c>
      <c r="R64" s="6">
        <f t="shared" si="48"/>
        <v>4.4609688266775804E-2</v>
      </c>
      <c r="S64" s="6">
        <f t="shared" si="18"/>
        <v>5.091864577993991E-2</v>
      </c>
      <c r="T64" s="6">
        <f t="shared" si="20"/>
        <v>5.1167348699755144E-2</v>
      </c>
      <c r="U64" s="6">
        <f t="shared" si="32"/>
        <v>4.7372486222851763E-2</v>
      </c>
      <c r="V64" s="2">
        <v>465998.17</v>
      </c>
      <c r="W64" s="2">
        <v>61107459</v>
      </c>
      <c r="X64" s="2">
        <v>3416826</v>
      </c>
      <c r="Y64" s="2">
        <v>945453</v>
      </c>
      <c r="Z64" s="2">
        <v>35584</v>
      </c>
      <c r="AA64" s="2">
        <v>113480</v>
      </c>
      <c r="AB64" s="2">
        <v>22264</v>
      </c>
      <c r="AC64" s="2">
        <v>0</v>
      </c>
      <c r="AD64" s="2">
        <v>1039872.9199999999</v>
      </c>
      <c r="AE64" s="4">
        <f t="shared" si="24"/>
        <v>1.1554143555555554E-2</v>
      </c>
      <c r="AF64" s="2">
        <v>51861116.409999996</v>
      </c>
      <c r="AG64" s="5">
        <f t="shared" si="16"/>
        <v>0.68193446955950032</v>
      </c>
      <c r="AH64" s="2">
        <f t="shared" si="7"/>
        <v>49815313.001321495</v>
      </c>
      <c r="AI64" s="2">
        <f t="shared" si="31"/>
        <v>13950000</v>
      </c>
      <c r="AJ64" s="5">
        <f t="shared" si="17"/>
        <v>1</v>
      </c>
      <c r="AK64" s="4">
        <f t="shared" si="33"/>
        <v>0.78923982897866141</v>
      </c>
      <c r="AL64" s="9">
        <v>900000</v>
      </c>
      <c r="AM64" s="4">
        <f t="shared" si="34"/>
        <v>0.22445667227798782</v>
      </c>
      <c r="AN64" s="4"/>
      <c r="AO64" s="8">
        <f t="shared" si="39"/>
        <v>0.92995376553793252</v>
      </c>
      <c r="AP64" s="8">
        <f t="shared" si="40"/>
        <v>5.1998401780835167E-2</v>
      </c>
      <c r="AQ64" s="8">
        <f t="shared" si="41"/>
        <v>1.4388220225114171E-2</v>
      </c>
      <c r="AR64" s="8">
        <f t="shared" si="42"/>
        <v>5.4152922301845007E-4</v>
      </c>
      <c r="AS64" s="8">
        <f t="shared" si="43"/>
        <v>1.7269766251161677E-3</v>
      </c>
      <c r="AT64" s="8">
        <f t="shared" si="44"/>
        <v>3.3882100442004192E-4</v>
      </c>
    </row>
    <row r="65" spans="1:46" x14ac:dyDescent="0.25">
      <c r="A65">
        <f t="shared" si="14"/>
        <v>61</v>
      </c>
      <c r="B65" s="3">
        <v>41030</v>
      </c>
      <c r="C65" s="4">
        <v>6.25E-2</v>
      </c>
      <c r="D65">
        <v>2879</v>
      </c>
      <c r="E65" s="2">
        <v>65356897.259999998</v>
      </c>
      <c r="F65" s="2"/>
      <c r="G65" s="5">
        <f t="shared" si="35"/>
        <v>0.72618774733333336</v>
      </c>
      <c r="H65" s="2">
        <f t="shared" si="36"/>
        <v>182085.79677173536</v>
      </c>
      <c r="I65" s="2"/>
      <c r="J65" s="2"/>
      <c r="K65" s="2"/>
      <c r="L65" s="2"/>
      <c r="M65" s="2"/>
      <c r="N65" s="2"/>
      <c r="O65" s="2"/>
      <c r="P65" s="36">
        <f t="shared" si="37"/>
        <v>8</v>
      </c>
      <c r="Q65" s="6">
        <f t="shared" si="38"/>
        <v>2.7710426047800486E-3</v>
      </c>
      <c r="R65" s="6">
        <f t="shared" si="48"/>
        <v>3.2750370657475769E-2</v>
      </c>
      <c r="S65" s="6">
        <f t="shared" si="18"/>
        <v>4.060151809933954E-2</v>
      </c>
      <c r="T65" s="6">
        <f t="shared" si="20"/>
        <v>4.4247715899792116E-2</v>
      </c>
      <c r="U65" s="6">
        <f t="shared" si="32"/>
        <v>4.7821325350962396E-2</v>
      </c>
      <c r="V65" s="2">
        <v>0</v>
      </c>
      <c r="W65" s="2">
        <v>59881208</v>
      </c>
      <c r="X65" s="2">
        <v>3786938</v>
      </c>
      <c r="Y65" s="2">
        <v>1414581</v>
      </c>
      <c r="Z65" s="2">
        <v>97725</v>
      </c>
      <c r="AA65" s="2">
        <v>22943</v>
      </c>
      <c r="AB65" s="2">
        <v>62090</v>
      </c>
      <c r="AC65" s="2">
        <v>23263.24</v>
      </c>
      <c r="AD65" s="2">
        <v>1063136.1599999999</v>
      </c>
      <c r="AE65" s="4">
        <f t="shared" si="24"/>
        <v>1.1812623999999999E-2</v>
      </c>
      <c r="AF65" s="2">
        <v>51616548.829999998</v>
      </c>
      <c r="AG65" s="5">
        <f t="shared" si="16"/>
        <v>0.67871859079552921</v>
      </c>
      <c r="AH65" s="2">
        <f t="shared" si="7"/>
        <v>49580393.05761341</v>
      </c>
      <c r="AI65" s="2">
        <f t="shared" si="31"/>
        <v>13950000</v>
      </c>
      <c r="AJ65" s="5">
        <f t="shared" si="17"/>
        <v>1</v>
      </c>
      <c r="AK65" s="4">
        <f t="shared" si="33"/>
        <v>0.7897643706166354</v>
      </c>
      <c r="AL65" s="9">
        <v>900000</v>
      </c>
      <c r="AM65" s="4">
        <f t="shared" si="34"/>
        <v>0.22400617293318559</v>
      </c>
      <c r="AN65" s="4"/>
      <c r="AO65" s="8">
        <f t="shared" si="39"/>
        <v>0.91621864731098168</v>
      </c>
      <c r="AP65" s="8">
        <f t="shared" si="40"/>
        <v>5.794243849941294E-2</v>
      </c>
      <c r="AQ65" s="8">
        <f t="shared" si="41"/>
        <v>2.1643943628054659E-2</v>
      </c>
      <c r="AR65" s="8">
        <f t="shared" si="42"/>
        <v>1.4952515204513857E-3</v>
      </c>
      <c r="AS65" s="8">
        <f t="shared" si="43"/>
        <v>3.5104175629282314E-4</v>
      </c>
      <c r="AT65" s="8">
        <f t="shared" si="44"/>
        <v>9.5001449889819945E-4</v>
      </c>
    </row>
    <row r="66" spans="1:46" x14ac:dyDescent="0.25">
      <c r="A66">
        <f t="shared" si="14"/>
        <v>62</v>
      </c>
      <c r="B66" s="3">
        <v>41061</v>
      </c>
      <c r="C66" s="4">
        <v>6.25E-2</v>
      </c>
      <c r="D66">
        <v>2859</v>
      </c>
      <c r="E66" s="2">
        <v>64675362.829999998</v>
      </c>
      <c r="F66" s="2"/>
      <c r="G66" s="5">
        <f t="shared" si="35"/>
        <v>0.71861514255555559</v>
      </c>
      <c r="H66" s="2">
        <f t="shared" si="36"/>
        <v>454024.9896491837</v>
      </c>
      <c r="I66" s="2"/>
      <c r="J66" s="2"/>
      <c r="K66" s="2"/>
      <c r="L66" s="2"/>
      <c r="M66" s="2"/>
      <c r="N66" s="2"/>
      <c r="O66" s="2"/>
      <c r="P66" s="36">
        <f t="shared" si="37"/>
        <v>20</v>
      </c>
      <c r="Q66" s="6">
        <f t="shared" si="38"/>
        <v>6.9468565474122956E-3</v>
      </c>
      <c r="R66" s="6">
        <f t="shared" si="48"/>
        <v>8.024981097398709E-2</v>
      </c>
      <c r="S66" s="6">
        <f t="shared" si="18"/>
        <v>5.2536623299412888E-2</v>
      </c>
      <c r="T66" s="6">
        <f t="shared" si="20"/>
        <v>4.9005381443327077E-2</v>
      </c>
      <c r="U66" s="6">
        <f t="shared" si="32"/>
        <v>5.0943143604733017E-2</v>
      </c>
      <c r="V66" s="2">
        <v>0</v>
      </c>
      <c r="W66" s="2">
        <v>59953110</v>
      </c>
      <c r="X66" s="2">
        <v>3652466</v>
      </c>
      <c r="Y66" s="2">
        <v>815787</v>
      </c>
      <c r="Z66" s="2">
        <v>101099</v>
      </c>
      <c r="AA66" s="2">
        <v>26670</v>
      </c>
      <c r="AB66" s="2">
        <v>34820</v>
      </c>
      <c r="AC66" s="2">
        <v>0</v>
      </c>
      <c r="AD66" s="2">
        <v>1063136.1599999999</v>
      </c>
      <c r="AE66" s="4">
        <f t="shared" si="24"/>
        <v>1.1812623999999999E-2</v>
      </c>
      <c r="AF66" s="2">
        <v>51043302.490000002</v>
      </c>
      <c r="AG66" s="5">
        <f t="shared" si="16"/>
        <v>0.6711808348454964</v>
      </c>
      <c r="AH66" s="2">
        <f t="shared" si="7"/>
        <v>49029759.985463515</v>
      </c>
      <c r="AI66" s="2">
        <f t="shared" si="31"/>
        <v>13950000</v>
      </c>
      <c r="AJ66" s="5">
        <f t="shared" si="17"/>
        <v>1</v>
      </c>
      <c r="AK66" s="4">
        <f t="shared" si="33"/>
        <v>0.7892232877636568</v>
      </c>
      <c r="AL66" s="9">
        <v>900000</v>
      </c>
      <c r="AM66" s="4">
        <f t="shared" si="34"/>
        <v>0.22469236667751979</v>
      </c>
      <c r="AN66" s="4"/>
      <c r="AO66" s="8">
        <f t="shared" si="39"/>
        <v>0.92698529048205736</v>
      </c>
      <c r="AP66" s="8">
        <f t="shared" si="40"/>
        <v>5.6473838571274082E-2</v>
      </c>
      <c r="AQ66" s="8">
        <f t="shared" si="41"/>
        <v>1.2613566655115741E-2</v>
      </c>
      <c r="AR66" s="8">
        <f t="shared" si="42"/>
        <v>1.5631763870539079E-3</v>
      </c>
      <c r="AS66" s="8">
        <f t="shared" si="43"/>
        <v>4.1236722660686773E-4</v>
      </c>
      <c r="AT66" s="8">
        <f t="shared" si="44"/>
        <v>5.3838120849085619E-4</v>
      </c>
    </row>
    <row r="67" spans="1:46" x14ac:dyDescent="0.25">
      <c r="A67">
        <f t="shared" si="14"/>
        <v>63</v>
      </c>
      <c r="B67" s="3">
        <v>41091</v>
      </c>
      <c r="C67" s="4">
        <v>6.25E-2</v>
      </c>
      <c r="D67">
        <v>2846</v>
      </c>
      <c r="E67" s="2">
        <v>64226996.369999997</v>
      </c>
      <c r="F67" s="2"/>
      <c r="G67" s="5">
        <f t="shared" si="35"/>
        <v>0.713633293</v>
      </c>
      <c r="H67" s="2">
        <f t="shared" si="36"/>
        <v>294081.74774046871</v>
      </c>
      <c r="I67" s="2"/>
      <c r="J67" s="2"/>
      <c r="K67" s="2"/>
      <c r="L67" s="2"/>
      <c r="M67" s="2"/>
      <c r="N67" s="2"/>
      <c r="O67" s="2"/>
      <c r="P67" s="36">
        <f t="shared" si="37"/>
        <v>13</v>
      </c>
      <c r="Q67" s="6">
        <f t="shared" si="38"/>
        <v>4.5470444211262685E-3</v>
      </c>
      <c r="R67" s="6">
        <f t="shared" si="48"/>
        <v>5.3220415370633156E-2</v>
      </c>
      <c r="S67" s="6">
        <f t="shared" si="18"/>
        <v>5.5406865667365336E-2</v>
      </c>
      <c r="T67" s="6">
        <f t="shared" si="20"/>
        <v>5.3162755723652623E-2</v>
      </c>
      <c r="U67" s="6">
        <f t="shared" si="32"/>
        <v>5.2439710549099218E-2</v>
      </c>
      <c r="V67" s="2">
        <v>458628.42</v>
      </c>
      <c r="W67" s="2">
        <v>59662443</v>
      </c>
      <c r="X67" s="2">
        <v>3050018</v>
      </c>
      <c r="Y67" s="2">
        <v>1312806</v>
      </c>
      <c r="Z67" s="2">
        <v>68820</v>
      </c>
      <c r="AA67" s="2">
        <v>0</v>
      </c>
      <c r="AB67" s="2">
        <v>25670</v>
      </c>
      <c r="AC67" s="2">
        <v>34819.71</v>
      </c>
      <c r="AD67" s="2">
        <v>1097955.8699999999</v>
      </c>
      <c r="AE67" s="4">
        <f t="shared" si="24"/>
        <v>1.2199509666666665E-2</v>
      </c>
      <c r="AF67" s="2">
        <v>50339810.75</v>
      </c>
      <c r="AG67" s="5">
        <f t="shared" ref="AG67:AG79" si="49">+AF67/$AF$4</f>
        <v>0.66193045036160425</v>
      </c>
      <c r="AH67" s="2">
        <f t="shared" si="7"/>
        <v>48354019.398915187</v>
      </c>
      <c r="AI67" s="2">
        <f t="shared" si="31"/>
        <v>13950000</v>
      </c>
      <c r="AJ67" s="5">
        <f t="shared" si="17"/>
        <v>1</v>
      </c>
      <c r="AK67" s="4">
        <f t="shared" si="33"/>
        <v>0.78377961908729998</v>
      </c>
      <c r="AL67" s="9">
        <v>900000</v>
      </c>
      <c r="AM67" s="4">
        <f t="shared" si="34"/>
        <v>0.23023318006051108</v>
      </c>
      <c r="AO67" s="8">
        <f t="shared" si="39"/>
        <v>0.92893092269636213</v>
      </c>
      <c r="AP67" s="8">
        <f t="shared" si="40"/>
        <v>4.748809959023155E-2</v>
      </c>
      <c r="AQ67" s="8">
        <f t="shared" si="41"/>
        <v>2.044009644226805E-2</v>
      </c>
      <c r="AR67" s="8">
        <f t="shared" si="42"/>
        <v>1.071512041502619E-3</v>
      </c>
      <c r="AS67" s="8">
        <f t="shared" si="43"/>
        <v>0</v>
      </c>
      <c r="AT67" s="8">
        <f t="shared" si="44"/>
        <v>3.9967617124923323E-4</v>
      </c>
    </row>
    <row r="68" spans="1:46" x14ac:dyDescent="0.25">
      <c r="A68">
        <f t="shared" si="14"/>
        <v>64</v>
      </c>
      <c r="B68" s="3">
        <v>41122</v>
      </c>
      <c r="C68" s="4">
        <v>6.25E-2</v>
      </c>
      <c r="D68">
        <v>2834</v>
      </c>
      <c r="E68" s="2">
        <v>63829904.100000001</v>
      </c>
      <c r="F68" s="2"/>
      <c r="G68" s="5">
        <f t="shared" si="35"/>
        <v>0.70922115666666663</v>
      </c>
      <c r="H68" s="2">
        <f t="shared" si="36"/>
        <v>270809.54196767393</v>
      </c>
      <c r="I68" s="2"/>
      <c r="J68" s="2"/>
      <c r="K68" s="2"/>
      <c r="L68" s="2"/>
      <c r="M68" s="2"/>
      <c r="N68" s="2"/>
      <c r="O68" s="2"/>
      <c r="P68" s="36">
        <f t="shared" si="37"/>
        <v>12</v>
      </c>
      <c r="Q68" s="6">
        <f t="shared" si="38"/>
        <v>4.2164441321152499E-3</v>
      </c>
      <c r="R68" s="6">
        <f t="shared" ref="R68" si="50">1-(+Q68-1)^12</f>
        <v>4.9440291266138137E-2</v>
      </c>
      <c r="S68" s="6">
        <f t="shared" si="18"/>
        <v>6.0970172536919463E-2</v>
      </c>
      <c r="T68" s="6">
        <f t="shared" si="20"/>
        <v>5.0785845318129498E-2</v>
      </c>
      <c r="U68" s="6">
        <f t="shared" si="32"/>
        <v>5.3935281797396095E-2</v>
      </c>
      <c r="V68" s="2">
        <v>0</v>
      </c>
      <c r="W68" s="2">
        <v>59739726</v>
      </c>
      <c r="X68" s="2">
        <v>2868491</v>
      </c>
      <c r="Y68" s="2">
        <v>955195</v>
      </c>
      <c r="Z68" s="2">
        <v>113614</v>
      </c>
      <c r="AA68" s="2">
        <v>19968</v>
      </c>
      <c r="AB68" s="2">
        <v>0</v>
      </c>
      <c r="AC68" s="2"/>
      <c r="AD68" s="2">
        <v>1097955.8699999999</v>
      </c>
      <c r="AE68" s="4">
        <f t="shared" si="24"/>
        <v>1.2199509666666665E-2</v>
      </c>
      <c r="AF68" s="2">
        <v>50035790.240000002</v>
      </c>
      <c r="AG68" s="5">
        <f t="shared" si="49"/>
        <v>0.65793281051939512</v>
      </c>
      <c r="AH68" s="2">
        <f t="shared" si="7"/>
        <v>48061991.808441818</v>
      </c>
      <c r="AI68" s="2">
        <f t="shared" si="31"/>
        <v>13950000</v>
      </c>
      <c r="AJ68" s="5">
        <f t="shared" ref="AJ68:AJ75" si="51">+AI68/AI$4</f>
        <v>1</v>
      </c>
      <c r="AK68" s="4">
        <f t="shared" ref="AK68:AK99" si="52">+AF68/E68</f>
        <v>0.78389261186435033</v>
      </c>
      <c r="AL68" s="9">
        <v>900000</v>
      </c>
      <c r="AM68" s="4">
        <f t="shared" ref="AM68:AM99" si="53">1-(+AF68-AL68)/E68</f>
        <v>0.23020736232000694</v>
      </c>
      <c r="AO68" s="8">
        <f t="shared" si="39"/>
        <v>0.93592066042286282</v>
      </c>
      <c r="AP68" s="8">
        <f t="shared" si="40"/>
        <v>4.4939610053401288E-2</v>
      </c>
      <c r="AQ68" s="8">
        <f t="shared" si="41"/>
        <v>1.4964694267807931E-2</v>
      </c>
      <c r="AR68" s="8">
        <f t="shared" si="42"/>
        <v>1.7799494077572959E-3</v>
      </c>
      <c r="AS68" s="8">
        <f t="shared" si="43"/>
        <v>3.1283142723693985E-4</v>
      </c>
      <c r="AT68" s="8">
        <f t="shared" si="44"/>
        <v>0</v>
      </c>
    </row>
    <row r="69" spans="1:46" x14ac:dyDescent="0.25">
      <c r="A69">
        <f t="shared" si="14"/>
        <v>65</v>
      </c>
      <c r="B69" s="3">
        <v>41153</v>
      </c>
      <c r="C69" s="4">
        <v>6.25E-2</v>
      </c>
      <c r="D69">
        <v>2820</v>
      </c>
      <c r="E69" s="2">
        <v>63367099.329999998</v>
      </c>
      <c r="F69" s="2"/>
      <c r="G69" s="5">
        <f t="shared" ref="G69:G100" si="54">+E69/$E$4</f>
        <v>0.70407888144444442</v>
      </c>
      <c r="H69" s="2">
        <f t="shared" ref="H69:H100" si="55">+E68/D68*P69</f>
        <v>315320.62717007764</v>
      </c>
      <c r="I69" s="2"/>
      <c r="J69" s="2"/>
      <c r="K69" s="2"/>
      <c r="L69" s="2"/>
      <c r="M69" s="2"/>
      <c r="N69" s="2"/>
      <c r="O69" s="2"/>
      <c r="P69" s="36">
        <f t="shared" si="37"/>
        <v>14</v>
      </c>
      <c r="Q69" s="6">
        <f t="shared" ref="Q69:Q100" si="56">IF(I69&gt;0,I69,+H69)/E68</f>
        <v>4.9400141143260412E-3</v>
      </c>
      <c r="R69" s="6">
        <f t="shared" ref="R69" si="57">1-(+Q69-1)^12</f>
        <v>5.769575215118683E-2</v>
      </c>
      <c r="S69" s="6">
        <f t="shared" si="18"/>
        <v>5.3452152929319374E-2</v>
      </c>
      <c r="T69" s="6">
        <f t="shared" si="20"/>
        <v>5.2994388114366131E-2</v>
      </c>
      <c r="U69" s="6">
        <f t="shared" si="32"/>
        <v>5.2307418486511027E-2</v>
      </c>
      <c r="V69" s="2">
        <v>0</v>
      </c>
      <c r="W69" s="2">
        <v>59225072</v>
      </c>
      <c r="X69" s="2">
        <v>3072015</v>
      </c>
      <c r="Y69" s="2">
        <v>909530</v>
      </c>
      <c r="Z69" s="2">
        <v>17485</v>
      </c>
      <c r="AA69" s="2">
        <v>45204</v>
      </c>
      <c r="AB69" s="2">
        <v>19968</v>
      </c>
      <c r="AC69" s="2">
        <v>31481.360000000001</v>
      </c>
      <c r="AD69" s="2">
        <v>1129437.23</v>
      </c>
      <c r="AE69" s="4">
        <f t="shared" si="24"/>
        <v>1.2549302555555555E-2</v>
      </c>
      <c r="AF69" s="2">
        <v>49699392.93</v>
      </c>
      <c r="AG69" s="5">
        <f t="shared" si="49"/>
        <v>0.65350944023668633</v>
      </c>
      <c r="AH69" s="2">
        <f t="shared" ref="AH69:AH132" si="58">+$AH$2*AF69</f>
        <v>47738864.609289944</v>
      </c>
      <c r="AI69" s="2">
        <f t="shared" si="31"/>
        <v>13950000</v>
      </c>
      <c r="AJ69" s="5">
        <f t="shared" si="51"/>
        <v>1</v>
      </c>
      <c r="AK69" s="4">
        <f t="shared" si="52"/>
        <v>0.7843091044956626</v>
      </c>
      <c r="AL69" s="9">
        <v>900000</v>
      </c>
      <c r="AM69" s="4">
        <f t="shared" si="53"/>
        <v>0.22989384955329939</v>
      </c>
      <c r="AO69" s="8">
        <f t="shared" ref="AO69:AO100" si="59">+W69/$E69</f>
        <v>0.93463441795829483</v>
      </c>
      <c r="AP69" s="8">
        <f t="shared" ref="AP69:AP100" si="60">+X69/$E69</f>
        <v>4.8479653203024407E-2</v>
      </c>
      <c r="AQ69" s="8">
        <f t="shared" ref="AQ69:AQ100" si="61">+Y69/$E69</f>
        <v>1.4353347551280442E-2</v>
      </c>
      <c r="AR69" s="8">
        <f t="shared" ref="AR69:AR100" si="62">+Z69/$E69</f>
        <v>2.7593183505122265E-4</v>
      </c>
      <c r="AS69" s="8">
        <f t="shared" ref="AS69:AS100" si="63">+AA69/$E69</f>
        <v>7.1336703869919751E-4</v>
      </c>
      <c r="AT69" s="8">
        <f t="shared" ref="AT69:AT100" si="64">+AB69/$E69</f>
        <v>3.1511620716630331E-4</v>
      </c>
    </row>
    <row r="70" spans="1:46" x14ac:dyDescent="0.25">
      <c r="A70">
        <f t="shared" ref="A70:A133" si="65">+A69+1</f>
        <v>66</v>
      </c>
      <c r="B70" s="3">
        <v>41194</v>
      </c>
      <c r="C70" s="4">
        <v>6.25E-2</v>
      </c>
      <c r="D70">
        <v>2804</v>
      </c>
      <c r="E70" s="2">
        <v>62855032.439999998</v>
      </c>
      <c r="F70" s="2"/>
      <c r="G70" s="5">
        <f t="shared" si="54"/>
        <v>0.69838924933333335</v>
      </c>
      <c r="H70" s="2">
        <f t="shared" si="55"/>
        <v>359529.64158865245</v>
      </c>
      <c r="I70" s="2"/>
      <c r="J70" s="2"/>
      <c r="K70" s="2"/>
      <c r="L70" s="2"/>
      <c r="M70" s="2"/>
      <c r="N70" s="2"/>
      <c r="O70" s="2"/>
      <c r="P70" s="36">
        <v>16</v>
      </c>
      <c r="Q70" s="6">
        <f t="shared" si="56"/>
        <v>5.6737588652482265E-3</v>
      </c>
      <c r="R70" s="6">
        <f t="shared" ref="R70" si="66">1-(+Q70-1)^12</f>
        <v>6.6000138772634331E-2</v>
      </c>
      <c r="S70" s="6">
        <f t="shared" si="18"/>
        <v>5.7712060729986435E-2</v>
      </c>
      <c r="T70" s="6">
        <f t="shared" ref="T70" si="67">AVERAGE(R65:R70)</f>
        <v>5.6559463198675886E-2</v>
      </c>
      <c r="U70" s="6">
        <f t="shared" ref="U70" si="68">AVERAGE(R59:R70)</f>
        <v>5.3863405949215515E-2</v>
      </c>
      <c r="V70" s="2">
        <v>0</v>
      </c>
      <c r="W70" s="2">
        <v>58167550</v>
      </c>
      <c r="X70" s="2">
        <v>3524858</v>
      </c>
      <c r="Y70" s="2">
        <v>859807</v>
      </c>
      <c r="Z70" s="2">
        <v>197883</v>
      </c>
      <c r="AA70" s="2">
        <v>17485</v>
      </c>
      <c r="AB70" s="2">
        <v>22656</v>
      </c>
      <c r="AC70" s="2">
        <v>19968.38</v>
      </c>
      <c r="AD70" s="2">
        <v>1149405.56</v>
      </c>
      <c r="AE70" s="4">
        <f t="shared" si="24"/>
        <v>1.277117288888889E-2</v>
      </c>
      <c r="AF70" s="2">
        <v>49327959.939999998</v>
      </c>
      <c r="AG70" s="5">
        <f t="shared" si="49"/>
        <v>0.64862537725180802</v>
      </c>
      <c r="AH70" s="2">
        <f t="shared" si="58"/>
        <v>47382083.808244571</v>
      </c>
      <c r="AI70" s="2">
        <f t="shared" si="31"/>
        <v>13950000</v>
      </c>
      <c r="AJ70" s="5">
        <f t="shared" si="51"/>
        <v>1</v>
      </c>
      <c r="AK70" s="4">
        <f t="shared" si="52"/>
        <v>0.78478934820513158</v>
      </c>
      <c r="AL70" s="9">
        <v>900000</v>
      </c>
      <c r="AM70" s="4">
        <f t="shared" si="53"/>
        <v>0.22952931435954249</v>
      </c>
      <c r="AO70" s="8">
        <f t="shared" si="59"/>
        <v>0.92542391184867234</v>
      </c>
      <c r="AP70" s="8">
        <f t="shared" si="60"/>
        <v>5.6079169211546431E-2</v>
      </c>
      <c r="AQ70" s="8">
        <f t="shared" si="61"/>
        <v>1.3679207004160764E-2</v>
      </c>
      <c r="AR70" s="8">
        <f t="shared" si="62"/>
        <v>3.1482443380948799E-3</v>
      </c>
      <c r="AS70" s="8">
        <f t="shared" si="63"/>
        <v>2.7817979438147275E-4</v>
      </c>
      <c r="AT70" s="8">
        <f t="shared" si="64"/>
        <v>3.6044846562806104E-4</v>
      </c>
    </row>
    <row r="71" spans="1:46" x14ac:dyDescent="0.25">
      <c r="A71">
        <f t="shared" si="65"/>
        <v>67</v>
      </c>
      <c r="B71" s="3">
        <v>41214</v>
      </c>
      <c r="C71" s="4">
        <v>0.06</v>
      </c>
      <c r="D71">
        <v>2789</v>
      </c>
      <c r="E71" s="2">
        <v>62344946.670000002</v>
      </c>
      <c r="F71" s="2"/>
      <c r="G71" s="5">
        <f t="shared" si="54"/>
        <v>0.69272162966666673</v>
      </c>
      <c r="H71" s="2">
        <f t="shared" si="55"/>
        <v>336243.04087018542</v>
      </c>
      <c r="I71" s="2">
        <v>358799.41</v>
      </c>
      <c r="J71" s="2"/>
      <c r="K71" s="2"/>
      <c r="L71" s="2"/>
      <c r="M71" s="2"/>
      <c r="N71" s="2"/>
      <c r="O71" s="2"/>
      <c r="P71" s="36">
        <v>15</v>
      </c>
      <c r="Q71" s="6">
        <f t="shared" si="56"/>
        <v>5.7083640891045888E-3</v>
      </c>
      <c r="R71" s="6">
        <f t="shared" ref="R71:R72" si="69">1-(+Q71-1)^12</f>
        <v>6.6390132562088477E-2</v>
      </c>
      <c r="S71" s="6">
        <f t="shared" si="18"/>
        <v>6.3362007828636546E-2</v>
      </c>
      <c r="T71" s="6">
        <f t="shared" ref="T71:T72" si="70">AVERAGE(R66:R71)</f>
        <v>6.2166090182778001E-2</v>
      </c>
      <c r="U71" s="6">
        <f t="shared" ref="U71:U72" si="71">AVERAGE(R60:R71)</f>
        <v>5.3206903041285059E-2</v>
      </c>
      <c r="V71" s="2">
        <v>0</v>
      </c>
      <c r="W71" s="2">
        <v>58437908</v>
      </c>
      <c r="X71" s="2">
        <v>2967317</v>
      </c>
      <c r="Y71" s="2">
        <v>712448</v>
      </c>
      <c r="Z71" s="2">
        <v>98532</v>
      </c>
      <c r="AA71" s="2">
        <v>13951</v>
      </c>
      <c r="AB71" s="2">
        <v>17485</v>
      </c>
      <c r="AC71" s="2">
        <v>22655.89</v>
      </c>
      <c r="AD71" s="2">
        <v>1172061.45</v>
      </c>
      <c r="AE71" s="4">
        <f t="shared" si="24"/>
        <v>1.3022905E-2</v>
      </c>
      <c r="AF71" s="2">
        <v>48863939</v>
      </c>
      <c r="AG71" s="5">
        <f t="shared" si="49"/>
        <v>0.64252385272846813</v>
      </c>
      <c r="AH71" s="2">
        <f t="shared" si="58"/>
        <v>46936367.441814594</v>
      </c>
      <c r="AI71" s="2">
        <f t="shared" si="31"/>
        <v>13950000</v>
      </c>
      <c r="AJ71" s="5">
        <f t="shared" si="51"/>
        <v>1</v>
      </c>
      <c r="AK71" s="4">
        <f t="shared" si="52"/>
        <v>0.78376743601439347</v>
      </c>
      <c r="AL71" s="9">
        <v>900000</v>
      </c>
      <c r="AM71" s="4">
        <f t="shared" si="53"/>
        <v>0.23066837711997035</v>
      </c>
      <c r="AO71" s="8">
        <f t="shared" si="59"/>
        <v>0.93733191094571833</v>
      </c>
      <c r="AP71" s="8">
        <f t="shared" si="60"/>
        <v>4.7595148580467941E-2</v>
      </c>
      <c r="AQ71" s="8">
        <f t="shared" si="61"/>
        <v>1.1427517995501398E-2</v>
      </c>
      <c r="AR71" s="8">
        <f t="shared" si="62"/>
        <v>1.5804328219501547E-3</v>
      </c>
      <c r="AS71" s="8">
        <f t="shared" si="63"/>
        <v>2.2377114337501124E-4</v>
      </c>
      <c r="AT71" s="8">
        <f t="shared" si="64"/>
        <v>2.8045576961594664E-4</v>
      </c>
    </row>
    <row r="72" spans="1:46" x14ac:dyDescent="0.25">
      <c r="A72">
        <f t="shared" si="65"/>
        <v>68</v>
      </c>
      <c r="B72" s="3">
        <v>41244</v>
      </c>
      <c r="C72" s="4">
        <v>0.06</v>
      </c>
      <c r="D72">
        <v>2773</v>
      </c>
      <c r="E72" s="2">
        <v>61878895.170000002</v>
      </c>
      <c r="F72" s="2"/>
      <c r="G72" s="5">
        <f t="shared" si="54"/>
        <v>0.68754327966666673</v>
      </c>
      <c r="H72" s="2">
        <f t="shared" si="55"/>
        <v>357661.93858730729</v>
      </c>
      <c r="I72" s="2">
        <v>206446</v>
      </c>
      <c r="J72" s="2"/>
      <c r="K72" s="2"/>
      <c r="L72" s="2"/>
      <c r="M72" s="2"/>
      <c r="N72" s="2"/>
      <c r="O72" s="2"/>
      <c r="P72" s="36">
        <v>16</v>
      </c>
      <c r="Q72" s="6">
        <f t="shared" si="56"/>
        <v>3.3113509759298667E-3</v>
      </c>
      <c r="R72" s="6">
        <f t="shared" si="69"/>
        <v>3.9020447526402879E-2</v>
      </c>
      <c r="S72" s="6">
        <f t="shared" ref="S72:S90" si="72">AVERAGE(R70:R72)</f>
        <v>5.7136906287041898E-2</v>
      </c>
      <c r="T72" s="6">
        <f t="shared" si="70"/>
        <v>5.5294529608180633E-2</v>
      </c>
      <c r="U72" s="6">
        <f t="shared" si="71"/>
        <v>5.2149955525753855E-2</v>
      </c>
      <c r="V72" s="2">
        <v>0</v>
      </c>
      <c r="W72" s="2">
        <v>57782645</v>
      </c>
      <c r="X72" s="2">
        <v>3080387</v>
      </c>
      <c r="Y72" s="2">
        <v>821428</v>
      </c>
      <c r="Z72" s="2">
        <v>97130</v>
      </c>
      <c r="AA72" s="2">
        <v>0</v>
      </c>
      <c r="AB72" s="2">
        <v>0</v>
      </c>
      <c r="AC72" s="2">
        <v>0</v>
      </c>
      <c r="AD72" s="2">
        <v>1172061.45</v>
      </c>
      <c r="AE72" s="4">
        <f t="shared" si="24"/>
        <v>1.3022905E-2</v>
      </c>
      <c r="AF72" s="2">
        <v>48502546.289999999</v>
      </c>
      <c r="AG72" s="5">
        <f t="shared" si="49"/>
        <v>0.63777181183431952</v>
      </c>
      <c r="AH72" s="2">
        <f t="shared" si="58"/>
        <v>46589230.854497045</v>
      </c>
      <c r="AI72" s="2">
        <f t="shared" si="31"/>
        <v>13950000</v>
      </c>
      <c r="AJ72" s="5">
        <f t="shared" si="51"/>
        <v>1</v>
      </c>
      <c r="AK72" s="4">
        <f t="shared" si="52"/>
        <v>0.78383019213172545</v>
      </c>
      <c r="AL72" s="9">
        <v>900000</v>
      </c>
      <c r="AM72" s="4">
        <f t="shared" si="53"/>
        <v>0.23071434680238811</v>
      </c>
      <c r="AO72" s="8">
        <f t="shared" si="59"/>
        <v>0.93380214435396158</v>
      </c>
      <c r="AP72" s="8">
        <f t="shared" si="60"/>
        <v>4.9780898504041597E-2</v>
      </c>
      <c r="AQ72" s="8">
        <f t="shared" si="61"/>
        <v>1.3274768363967866E-2</v>
      </c>
      <c r="AR72" s="8">
        <f t="shared" si="62"/>
        <v>1.5696789629671727E-3</v>
      </c>
      <c r="AS72" s="8">
        <f t="shared" si="63"/>
        <v>0</v>
      </c>
      <c r="AT72" s="8">
        <f t="shared" si="64"/>
        <v>0</v>
      </c>
    </row>
    <row r="73" spans="1:46" x14ac:dyDescent="0.25">
      <c r="A73">
        <f t="shared" si="65"/>
        <v>69</v>
      </c>
      <c r="B73" s="3">
        <v>41275</v>
      </c>
      <c r="C73" s="4">
        <v>0.06</v>
      </c>
      <c r="D73">
        <v>2751</v>
      </c>
      <c r="E73" s="2">
        <v>61227331.560000002</v>
      </c>
      <c r="F73" s="2"/>
      <c r="G73" s="5">
        <f t="shared" si="54"/>
        <v>0.68030368400000008</v>
      </c>
      <c r="H73" s="2">
        <f t="shared" si="55"/>
        <v>490925.24116119725</v>
      </c>
      <c r="I73" s="2">
        <v>466084.37</v>
      </c>
      <c r="J73" s="2"/>
      <c r="K73" s="2"/>
      <c r="L73" s="2"/>
      <c r="M73" s="2"/>
      <c r="N73" s="2"/>
      <c r="O73" s="2"/>
      <c r="P73" s="36">
        <v>22</v>
      </c>
      <c r="Q73" s="6">
        <f t="shared" si="56"/>
        <v>7.5322025178297955E-3</v>
      </c>
      <c r="R73" s="6">
        <f t="shared" ref="R73" si="73">1-(+Q73-1)^12</f>
        <v>8.6734420188150807E-2</v>
      </c>
      <c r="S73" s="6">
        <f t="shared" si="72"/>
        <v>6.4048333425547388E-2</v>
      </c>
      <c r="T73" s="6">
        <f t="shared" ref="T73" si="74">AVERAGE(R68:R73)</f>
        <v>6.0880197077766908E-2</v>
      </c>
      <c r="U73" s="6">
        <f t="shared" ref="U73" si="75">AVERAGE(R62:R73)</f>
        <v>5.7021476400709765E-2</v>
      </c>
      <c r="V73" s="2">
        <v>1221407.53</v>
      </c>
      <c r="W73" s="2">
        <v>58121182</v>
      </c>
      <c r="X73" s="2">
        <v>2108539</v>
      </c>
      <c r="Y73" s="2">
        <v>815411</v>
      </c>
      <c r="Z73" s="2">
        <v>61157</v>
      </c>
      <c r="AA73" s="2">
        <v>23737</v>
      </c>
      <c r="AB73" s="2">
        <v>0</v>
      </c>
      <c r="AC73" s="2">
        <v>0</v>
      </c>
      <c r="AD73" s="2">
        <v>1172061.45</v>
      </c>
      <c r="AE73" s="4">
        <f t="shared" si="24"/>
        <v>1.3022905E-2</v>
      </c>
      <c r="AF73" s="2">
        <v>46829321.909999996</v>
      </c>
      <c r="AG73" s="5">
        <f t="shared" si="49"/>
        <v>0.61577017633136089</v>
      </c>
      <c r="AH73" s="2">
        <f t="shared" si="58"/>
        <v>44982011.381005913</v>
      </c>
      <c r="AI73" s="2">
        <f t="shared" si="31"/>
        <v>13950000</v>
      </c>
      <c r="AJ73" s="5">
        <f t="shared" si="51"/>
        <v>1</v>
      </c>
      <c r="AK73" s="4">
        <f t="shared" si="52"/>
        <v>0.76484342395535221</v>
      </c>
      <c r="AL73" s="9">
        <v>900000</v>
      </c>
      <c r="AM73" s="4">
        <f t="shared" si="53"/>
        <v>0.24985589376875994</v>
      </c>
      <c r="AO73" s="8">
        <f t="shared" si="59"/>
        <v>0.94926857857660973</v>
      </c>
      <c r="AP73" s="8">
        <f t="shared" si="60"/>
        <v>3.4437871882979705E-2</v>
      </c>
      <c r="AQ73" s="8">
        <f t="shared" si="61"/>
        <v>1.3317761516373358E-2</v>
      </c>
      <c r="AR73" s="8">
        <f t="shared" si="62"/>
        <v>9.9885130450391951E-4</v>
      </c>
      <c r="AS73" s="8">
        <f t="shared" si="63"/>
        <v>3.8768633868583376E-4</v>
      </c>
      <c r="AT73" s="8">
        <f t="shared" si="64"/>
        <v>0</v>
      </c>
    </row>
    <row r="74" spans="1:46" x14ac:dyDescent="0.25">
      <c r="A74">
        <f t="shared" si="65"/>
        <v>70</v>
      </c>
      <c r="B74" s="3">
        <v>41306</v>
      </c>
      <c r="C74" s="4">
        <v>0.06</v>
      </c>
      <c r="D74">
        <v>2742</v>
      </c>
      <c r="E74" s="2">
        <v>60898459.719999999</v>
      </c>
      <c r="F74" s="2"/>
      <c r="G74" s="5">
        <f t="shared" si="54"/>
        <v>0.67664955244444447</v>
      </c>
      <c r="H74" s="2">
        <f t="shared" si="55"/>
        <v>200307.51873500546</v>
      </c>
      <c r="I74" s="2">
        <v>153177.60000000001</v>
      </c>
      <c r="J74" s="2"/>
      <c r="K74" s="2"/>
      <c r="L74" s="2"/>
      <c r="M74" s="2"/>
      <c r="N74" s="2"/>
      <c r="O74" s="2"/>
      <c r="P74" s="36">
        <v>9</v>
      </c>
      <c r="Q74" s="6">
        <f t="shared" si="56"/>
        <v>2.5017846784632924E-3</v>
      </c>
      <c r="R74" s="6">
        <f t="shared" ref="R74" si="76">1-(+Q74-1)^12</f>
        <v>2.961175254069115E-2</v>
      </c>
      <c r="S74" s="6">
        <f t="shared" si="72"/>
        <v>5.1788873418414948E-2</v>
      </c>
      <c r="T74" s="6">
        <f t="shared" ref="T74" si="77">AVERAGE(R69:R74)</f>
        <v>5.7575440623525743E-2</v>
      </c>
      <c r="U74" s="6">
        <f t="shared" ref="U74" si="78">AVERAGE(R63:R74)</f>
        <v>5.4180642970827621E-2</v>
      </c>
      <c r="V74" s="2">
        <v>0</v>
      </c>
      <c r="W74" s="2">
        <v>57703585</v>
      </c>
      <c r="X74" s="2">
        <v>2465928</v>
      </c>
      <c r="Y74" s="2">
        <v>524917</v>
      </c>
      <c r="Z74" s="2">
        <v>89790</v>
      </c>
      <c r="AA74" s="2">
        <v>15852</v>
      </c>
      <c r="AB74" s="2">
        <v>23737</v>
      </c>
      <c r="AC74" s="2">
        <v>0</v>
      </c>
      <c r="AD74" s="2">
        <v>1172061.45</v>
      </c>
      <c r="AE74" s="4">
        <f t="shared" si="24"/>
        <v>1.3022905E-2</v>
      </c>
      <c r="AF74" s="2">
        <v>46618056.850000001</v>
      </c>
      <c r="AG74" s="5">
        <f t="shared" si="49"/>
        <v>0.61299220052596981</v>
      </c>
      <c r="AH74" s="2">
        <f t="shared" si="58"/>
        <v>44779080.248422094</v>
      </c>
      <c r="AI74" s="2">
        <f t="shared" si="31"/>
        <v>13950000</v>
      </c>
      <c r="AJ74" s="5">
        <f t="shared" si="51"/>
        <v>1</v>
      </c>
      <c r="AK74" s="4">
        <f t="shared" si="52"/>
        <v>0.76550469526390841</v>
      </c>
      <c r="AL74" s="9">
        <v>900000</v>
      </c>
      <c r="AM74" s="4">
        <f t="shared" si="53"/>
        <v>0.2492740036414175</v>
      </c>
      <c r="AO74" s="8">
        <f t="shared" si="59"/>
        <v>0.9475376760809805</v>
      </c>
      <c r="AP74" s="8">
        <f t="shared" si="60"/>
        <v>4.0492452704680659E-2</v>
      </c>
      <c r="AQ74" s="8">
        <f t="shared" si="61"/>
        <v>8.6195447703188641E-3</v>
      </c>
      <c r="AR74" s="8">
        <f t="shared" si="62"/>
        <v>1.4744215274546848E-3</v>
      </c>
      <c r="AS74" s="8">
        <f t="shared" si="63"/>
        <v>2.6030215005247426E-4</v>
      </c>
      <c r="AT74" s="8">
        <f t="shared" si="64"/>
        <v>3.8977997323969102E-4</v>
      </c>
    </row>
    <row r="75" spans="1:46" x14ac:dyDescent="0.25">
      <c r="A75">
        <f t="shared" si="65"/>
        <v>71</v>
      </c>
      <c r="B75" s="3">
        <v>41334</v>
      </c>
      <c r="C75" s="4">
        <v>0.06</v>
      </c>
      <c r="D75">
        <v>2731</v>
      </c>
      <c r="E75" s="2">
        <v>60431227.399999999</v>
      </c>
      <c r="F75" s="2"/>
      <c r="G75" s="5">
        <f t="shared" si="54"/>
        <v>0.67145808222222225</v>
      </c>
      <c r="H75" s="2">
        <f t="shared" si="55"/>
        <v>244304.54300510575</v>
      </c>
      <c r="I75" s="2">
        <v>303118.62</v>
      </c>
      <c r="J75" s="2"/>
      <c r="K75" s="2"/>
      <c r="L75" s="2"/>
      <c r="M75" s="2"/>
      <c r="N75" s="2"/>
      <c r="O75" s="2"/>
      <c r="P75" s="36">
        <v>11</v>
      </c>
      <c r="Q75" s="6">
        <f t="shared" si="56"/>
        <v>4.9774431306421228E-3</v>
      </c>
      <c r="R75" s="6">
        <f t="shared" ref="R75" si="79">1-(+Q75-1)^12</f>
        <v>5.8120999583918365E-2</v>
      </c>
      <c r="S75" s="6">
        <f t="shared" si="72"/>
        <v>5.8155724104253438E-2</v>
      </c>
      <c r="T75" s="6">
        <f t="shared" ref="T75" si="80">AVERAGE(R70:R75)</f>
        <v>5.7646315195647668E-2</v>
      </c>
      <c r="U75" s="6">
        <f t="shared" ref="U75" si="81">AVERAGE(R64:R75)</f>
        <v>5.53203516550069E-2</v>
      </c>
      <c r="V75" s="2">
        <v>0</v>
      </c>
      <c r="W75" s="2">
        <v>56876732</v>
      </c>
      <c r="X75" s="2">
        <v>2541751</v>
      </c>
      <c r="Y75" s="2">
        <v>860533</v>
      </c>
      <c r="Z75" s="2">
        <v>61709</v>
      </c>
      <c r="AA75" s="2">
        <v>0</v>
      </c>
      <c r="AB75" s="2">
        <v>15852</v>
      </c>
      <c r="AC75" s="2"/>
      <c r="AD75" s="2">
        <v>1172061.45</v>
      </c>
      <c r="AE75" s="4">
        <f t="shared" si="24"/>
        <v>1.3022905E-2</v>
      </c>
      <c r="AF75" s="2">
        <v>46618056.850000001</v>
      </c>
      <c r="AG75" s="5">
        <f t="shared" si="49"/>
        <v>0.61299220052596981</v>
      </c>
      <c r="AH75" s="2">
        <f t="shared" si="58"/>
        <v>44779080.248422094</v>
      </c>
      <c r="AI75" s="2">
        <f t="shared" si="31"/>
        <v>13950000</v>
      </c>
      <c r="AJ75" s="5">
        <f t="shared" si="51"/>
        <v>1</v>
      </c>
      <c r="AK75" s="4">
        <f t="shared" si="52"/>
        <v>0.7714232997690198</v>
      </c>
      <c r="AL75" s="9">
        <v>900000</v>
      </c>
      <c r="AM75" s="4">
        <f t="shared" si="53"/>
        <v>0.24346966267310988</v>
      </c>
      <c r="AO75" s="8">
        <f t="shared" si="59"/>
        <v>0.94118114834119693</v>
      </c>
      <c r="AP75" s="8">
        <f t="shared" si="60"/>
        <v>4.2060224644717377E-2</v>
      </c>
      <c r="AQ75" s="8">
        <f t="shared" si="61"/>
        <v>1.4239872943570231E-2</v>
      </c>
      <c r="AR75" s="8">
        <f t="shared" si="62"/>
        <v>1.0211442437126472E-3</v>
      </c>
      <c r="AS75" s="8">
        <f t="shared" si="63"/>
        <v>0</v>
      </c>
      <c r="AT75" s="8">
        <f t="shared" si="64"/>
        <v>2.623147118140447E-4</v>
      </c>
    </row>
    <row r="76" spans="1:46" x14ac:dyDescent="0.25">
      <c r="A76">
        <f t="shared" si="65"/>
        <v>72</v>
      </c>
      <c r="B76" s="3">
        <v>41365</v>
      </c>
      <c r="C76" s="4">
        <v>0.06</v>
      </c>
      <c r="D76">
        <v>2721</v>
      </c>
      <c r="E76" s="2">
        <v>60027917.07</v>
      </c>
      <c r="G76" s="5">
        <f t="shared" si="54"/>
        <v>0.66697685633333337</v>
      </c>
      <c r="H76" s="2">
        <f t="shared" si="55"/>
        <v>243406.62812156719</v>
      </c>
      <c r="I76" s="2">
        <v>211330.35</v>
      </c>
      <c r="J76" s="2"/>
      <c r="K76" s="2"/>
      <c r="L76" s="2"/>
      <c r="M76" s="2"/>
      <c r="N76" s="2"/>
      <c r="O76" s="2"/>
      <c r="P76" s="36">
        <v>11</v>
      </c>
      <c r="Q76" s="6">
        <f t="shared" si="56"/>
        <v>3.4970388504801412E-3</v>
      </c>
      <c r="R76" s="6">
        <f t="shared" ref="R76:R85" si="82">1-(+Q76-1)^12</f>
        <v>4.1166668640135295E-2</v>
      </c>
      <c r="S76" s="6">
        <f t="shared" si="72"/>
        <v>4.2966473588248268E-2</v>
      </c>
      <c r="T76" s="6">
        <f>AVERAGE(R65:R76)</f>
        <v>5.5033433352786855E-2</v>
      </c>
      <c r="U76" s="6">
        <f>AVERAGE(R59:R76)</f>
        <v>5.3744738468442951E-2</v>
      </c>
      <c r="V76" s="2">
        <v>153393.17000000001</v>
      </c>
      <c r="W76" s="2">
        <v>56725662</v>
      </c>
      <c r="X76" s="2">
        <v>2566273</v>
      </c>
      <c r="Y76" s="2">
        <v>482237</v>
      </c>
      <c r="Z76" s="2">
        <v>113586</v>
      </c>
      <c r="AA76" s="2">
        <v>49677</v>
      </c>
      <c r="AB76" s="2">
        <v>0</v>
      </c>
      <c r="AC76" s="2">
        <v>15852.12</v>
      </c>
      <c r="AD76" s="2">
        <v>1187913.57</v>
      </c>
      <c r="AE76" s="4">
        <f t="shared" si="24"/>
        <v>1.3199039666666667E-2</v>
      </c>
      <c r="AF76" s="2">
        <v>45795255.280000001</v>
      </c>
      <c r="AG76" s="5">
        <f t="shared" si="49"/>
        <v>0.60217298198553582</v>
      </c>
      <c r="AH76" s="2">
        <f t="shared" si="58"/>
        <v>43988736.334043391</v>
      </c>
      <c r="AI76" s="2">
        <f t="shared" si="31"/>
        <v>13950000</v>
      </c>
      <c r="AJ76" s="5">
        <f t="shared" ref="AJ76:AJ77" si="83">+AI76/AI$4</f>
        <v>1</v>
      </c>
      <c r="AK76" s="4">
        <f t="shared" si="52"/>
        <v>0.76289928945222352</v>
      </c>
      <c r="AL76" s="9">
        <v>900000</v>
      </c>
      <c r="AM76" s="4">
        <f t="shared" si="53"/>
        <v>0.25209373452611117</v>
      </c>
      <c r="AO76" s="8">
        <f t="shared" si="59"/>
        <v>0.94498801172545832</v>
      </c>
      <c r="AP76" s="8">
        <f t="shared" si="60"/>
        <v>4.2751325137725622E-2</v>
      </c>
      <c r="AQ76" s="8">
        <f t="shared" si="61"/>
        <v>8.0335454491557955E-3</v>
      </c>
      <c r="AR76" s="8">
        <f t="shared" si="62"/>
        <v>1.8922195795590346E-3</v>
      </c>
      <c r="AS76" s="8">
        <f t="shared" si="63"/>
        <v>8.2756494685748384E-4</v>
      </c>
      <c r="AT76" s="8">
        <f t="shared" si="64"/>
        <v>0</v>
      </c>
    </row>
    <row r="77" spans="1:46" x14ac:dyDescent="0.25">
      <c r="A77">
        <f t="shared" si="65"/>
        <v>73</v>
      </c>
      <c r="B77" s="3">
        <v>41395</v>
      </c>
      <c r="C77" s="4">
        <v>0.06</v>
      </c>
      <c r="D77">
        <v>2706</v>
      </c>
      <c r="E77" s="2">
        <v>59514945.890000001</v>
      </c>
      <c r="G77" s="5">
        <f t="shared" si="54"/>
        <v>0.66127717655555551</v>
      </c>
      <c r="H77" s="2">
        <f t="shared" si="55"/>
        <v>330914.64757442113</v>
      </c>
      <c r="I77" s="2">
        <v>331443.67</v>
      </c>
      <c r="J77" s="2"/>
      <c r="K77" s="2"/>
      <c r="L77" s="2"/>
      <c r="M77" s="2"/>
      <c r="N77" s="2"/>
      <c r="O77" s="2"/>
      <c r="P77" s="36">
        <f t="shared" ref="P77:P85" si="84">+D76-D77</f>
        <v>15</v>
      </c>
      <c r="Q77" s="6">
        <f t="shared" si="56"/>
        <v>5.5214921019747449E-3</v>
      </c>
      <c r="R77" s="6">
        <f t="shared" si="82"/>
        <v>6.4282348701225622E-2</v>
      </c>
      <c r="S77" s="6">
        <f t="shared" si="72"/>
        <v>5.4523338975093094E-2</v>
      </c>
      <c r="T77" s="6">
        <f>AVERAGE(R66:R77)</f>
        <v>5.7661098189766009E-2</v>
      </c>
      <c r="U77" s="6">
        <f>AVERAGE(R60:R77)</f>
        <v>5.3189970759774712E-2</v>
      </c>
      <c r="V77" s="2"/>
      <c r="W77" s="2">
        <v>56659438</v>
      </c>
      <c r="X77" s="2">
        <v>2206955</v>
      </c>
      <c r="Y77" s="2">
        <v>463055</v>
      </c>
      <c r="Z77" s="2">
        <v>57636</v>
      </c>
      <c r="AA77" s="2">
        <v>37653</v>
      </c>
      <c r="AB77" s="2">
        <v>19672</v>
      </c>
      <c r="AC77" s="2">
        <v>0</v>
      </c>
      <c r="AD77" s="2">
        <v>1187913.57</v>
      </c>
      <c r="AE77" s="4">
        <f t="shared" si="24"/>
        <v>1.3199039666666667E-2</v>
      </c>
      <c r="AF77" s="2">
        <v>45358434.229999997</v>
      </c>
      <c r="AG77" s="5">
        <f t="shared" si="49"/>
        <v>0.59642911545036159</v>
      </c>
      <c r="AH77" s="2">
        <f t="shared" si="58"/>
        <v>43569146.88364891</v>
      </c>
      <c r="AI77" s="2">
        <f t="shared" si="31"/>
        <v>13950000</v>
      </c>
      <c r="AJ77" s="5">
        <f t="shared" si="83"/>
        <v>1</v>
      </c>
      <c r="AK77" s="4">
        <f t="shared" si="52"/>
        <v>0.76213518388868007</v>
      </c>
      <c r="AL77" s="9">
        <v>900000</v>
      </c>
      <c r="AM77" s="4">
        <f t="shared" si="53"/>
        <v>0.25298706795144499</v>
      </c>
      <c r="AO77" s="8">
        <f t="shared" si="59"/>
        <v>0.95202032283995075</v>
      </c>
      <c r="AP77" s="8">
        <f t="shared" si="60"/>
        <v>3.7082365899803724E-2</v>
      </c>
      <c r="AQ77" s="8">
        <f t="shared" si="61"/>
        <v>7.7804825842546022E-3</v>
      </c>
      <c r="AR77" s="8">
        <f t="shared" si="62"/>
        <v>9.6842900784161324E-4</v>
      </c>
      <c r="AS77" s="8">
        <f t="shared" si="63"/>
        <v>6.3266460948470165E-4</v>
      </c>
      <c r="AT77" s="8">
        <f t="shared" si="64"/>
        <v>3.3053882022104615E-4</v>
      </c>
    </row>
    <row r="78" spans="1:46" x14ac:dyDescent="0.25">
      <c r="A78">
        <f t="shared" si="65"/>
        <v>74</v>
      </c>
      <c r="B78" s="3">
        <v>41426</v>
      </c>
      <c r="C78" s="4">
        <v>0.06</v>
      </c>
      <c r="D78">
        <v>2693</v>
      </c>
      <c r="E78" s="2">
        <v>59008475.32</v>
      </c>
      <c r="G78" s="5">
        <f t="shared" si="54"/>
        <v>0.6556497257777778</v>
      </c>
      <c r="H78" s="2">
        <f t="shared" si="55"/>
        <v>285918.06968588324</v>
      </c>
      <c r="I78" s="2">
        <v>288510.37</v>
      </c>
      <c r="J78" s="2"/>
      <c r="K78" s="2"/>
      <c r="L78" s="2"/>
      <c r="M78" s="2"/>
      <c r="N78" s="2"/>
      <c r="O78" s="2"/>
      <c r="P78" s="36">
        <f t="shared" si="84"/>
        <v>13</v>
      </c>
      <c r="Q78" s="6">
        <f t="shared" si="56"/>
        <v>4.8476960818085351E-3</v>
      </c>
      <c r="R78" s="6">
        <f t="shared" si="82"/>
        <v>5.6646134097274037E-2</v>
      </c>
      <c r="S78" s="6">
        <f t="shared" si="72"/>
        <v>5.4031717146211654E-2</v>
      </c>
      <c r="T78" s="6">
        <f t="shared" ref="T78:T85" si="85">AVERAGE(R67:R78)</f>
        <v>5.5694125116706593E-2</v>
      </c>
      <c r="U78" s="6">
        <f t="shared" ref="U78:U85" si="86">AVERAGE(R61:R78)</f>
        <v>5.3464543892246752E-2</v>
      </c>
      <c r="V78" s="2">
        <v>0</v>
      </c>
      <c r="W78" s="2">
        <v>56712013</v>
      </c>
      <c r="X78" s="2">
        <v>1697585</v>
      </c>
      <c r="Y78" s="2">
        <v>411419</v>
      </c>
      <c r="Z78" s="2">
        <v>56637</v>
      </c>
      <c r="AA78" s="2">
        <v>22518</v>
      </c>
      <c r="AB78" s="2">
        <v>18098</v>
      </c>
      <c r="AC78" s="2">
        <v>19672.259999999998</v>
      </c>
      <c r="AD78" s="2">
        <f>+AD77+AC78</f>
        <v>1207585.83</v>
      </c>
      <c r="AE78" s="4">
        <f t="shared" si="24"/>
        <v>1.3417620333333335E-2</v>
      </c>
      <c r="AF78" s="2">
        <v>44942137.810000002</v>
      </c>
      <c r="AG78" s="5">
        <f t="shared" si="49"/>
        <v>0.59095513228139385</v>
      </c>
      <c r="AH78" s="2">
        <f t="shared" si="58"/>
        <v>43169272.413155824</v>
      </c>
      <c r="AI78" s="2">
        <f t="shared" si="31"/>
        <v>13950000</v>
      </c>
      <c r="AJ78" s="5">
        <f t="shared" ref="AJ78:AJ79" si="87">+AI78/AI$4</f>
        <v>1</v>
      </c>
      <c r="AK78" s="4">
        <f t="shared" si="52"/>
        <v>0.76162174274595373</v>
      </c>
      <c r="AL78" s="9">
        <v>900000</v>
      </c>
      <c r="AM78" s="4">
        <f t="shared" si="53"/>
        <v>0.25363030359348049</v>
      </c>
      <c r="AO78" s="8">
        <f t="shared" si="59"/>
        <v>0.96108250030955045</v>
      </c>
      <c r="AP78" s="8">
        <f t="shared" si="60"/>
        <v>2.8768494539031585E-2</v>
      </c>
      <c r="AQ78" s="8">
        <f t="shared" si="61"/>
        <v>6.9722018365818705E-3</v>
      </c>
      <c r="AR78" s="8">
        <f t="shared" si="62"/>
        <v>9.5981127614059496E-4</v>
      </c>
      <c r="AS78" s="8">
        <f t="shared" si="63"/>
        <v>3.8160619941264394E-4</v>
      </c>
      <c r="AT78" s="8">
        <f t="shared" si="64"/>
        <v>3.0670170516786707E-4</v>
      </c>
    </row>
    <row r="79" spans="1:46" x14ac:dyDescent="0.25">
      <c r="A79">
        <f t="shared" si="65"/>
        <v>75</v>
      </c>
      <c r="B79" s="3">
        <v>41456</v>
      </c>
      <c r="C79" s="4">
        <v>0.06</v>
      </c>
      <c r="D79">
        <v>2672</v>
      </c>
      <c r="E79" s="2">
        <v>58370684.170000002</v>
      </c>
      <c r="G79" s="5">
        <f t="shared" si="54"/>
        <v>0.64856315744444448</v>
      </c>
      <c r="H79" s="2">
        <f t="shared" si="55"/>
        <v>460147.78378017084</v>
      </c>
      <c r="I79" s="2">
        <v>464465.66</v>
      </c>
      <c r="J79" s="2"/>
      <c r="K79" s="2"/>
      <c r="L79" s="2"/>
      <c r="M79" s="2"/>
      <c r="N79" s="2"/>
      <c r="O79" s="2"/>
      <c r="P79" s="36">
        <f t="shared" si="84"/>
        <v>21</v>
      </c>
      <c r="Q79" s="6">
        <f t="shared" si="56"/>
        <v>7.8711686326621046E-3</v>
      </c>
      <c r="R79" s="6">
        <f t="shared" si="82"/>
        <v>9.047038308050781E-2</v>
      </c>
      <c r="S79" s="6">
        <f t="shared" si="72"/>
        <v>7.0466288626335818E-2</v>
      </c>
      <c r="T79" s="6">
        <f t="shared" si="85"/>
        <v>5.8798289092529481E-2</v>
      </c>
      <c r="U79" s="6">
        <f t="shared" si="86"/>
        <v>5.6919777969570533E-2</v>
      </c>
      <c r="V79" s="2">
        <v>0</v>
      </c>
      <c r="W79" s="2">
        <v>55813201</v>
      </c>
      <c r="X79" s="2">
        <v>1992820</v>
      </c>
      <c r="Y79" s="2">
        <v>389991</v>
      </c>
      <c r="Z79" s="2">
        <v>0</v>
      </c>
      <c r="AA79" s="2">
        <v>43851</v>
      </c>
      <c r="AB79" s="2">
        <v>22518</v>
      </c>
      <c r="AC79" s="2">
        <v>18098.36</v>
      </c>
      <c r="AD79" s="2">
        <v>1225684.19</v>
      </c>
      <c r="AE79" s="4">
        <f t="shared" ref="AE79:AE82" si="88">+AD79/$E$4</f>
        <v>1.3618713222222221E-2</v>
      </c>
      <c r="AF79" s="2">
        <v>44383771.600000001</v>
      </c>
      <c r="AG79" s="5">
        <f t="shared" si="49"/>
        <v>0.5836130387902696</v>
      </c>
      <c r="AH79" s="2">
        <f t="shared" si="58"/>
        <v>42632932.483629197</v>
      </c>
      <c r="AI79" s="2">
        <f t="shared" si="31"/>
        <v>13950000</v>
      </c>
      <c r="AJ79" s="5">
        <f t="shared" si="87"/>
        <v>1</v>
      </c>
      <c r="AK79" s="4">
        <f t="shared" si="52"/>
        <v>0.76037778606013551</v>
      </c>
      <c r="AL79" s="9">
        <v>900000</v>
      </c>
      <c r="AM79" s="4">
        <f t="shared" si="53"/>
        <v>0.25504091277469088</v>
      </c>
      <c r="AO79" s="8">
        <f t="shared" si="59"/>
        <v>0.95618548580736973</v>
      </c>
      <c r="AP79" s="8">
        <f t="shared" si="60"/>
        <v>3.4140768235576428E-2</v>
      </c>
      <c r="AQ79" s="8">
        <f t="shared" si="61"/>
        <v>6.6812819747697674E-3</v>
      </c>
      <c r="AR79" s="8">
        <f t="shared" si="62"/>
        <v>0</v>
      </c>
      <c r="AS79" s="8">
        <f t="shared" si="63"/>
        <v>7.5125040289552593E-4</v>
      </c>
      <c r="AT79" s="8">
        <f t="shared" si="64"/>
        <v>3.8577584484735704E-4</v>
      </c>
    </row>
    <row r="80" spans="1:46" x14ac:dyDescent="0.25">
      <c r="A80">
        <f t="shared" si="65"/>
        <v>76</v>
      </c>
      <c r="B80" s="3">
        <v>41487</v>
      </c>
      <c r="C80" s="4">
        <v>0.06</v>
      </c>
      <c r="D80">
        <v>2650</v>
      </c>
      <c r="E80" s="2">
        <v>57713123.770000003</v>
      </c>
      <c r="G80" s="5">
        <f t="shared" si="54"/>
        <v>0.64125693077777779</v>
      </c>
      <c r="H80" s="2">
        <f t="shared" si="55"/>
        <v>480596.95050149702</v>
      </c>
      <c r="I80" s="2">
        <v>482231.3</v>
      </c>
      <c r="J80" s="2"/>
      <c r="K80" s="2"/>
      <c r="L80" s="2"/>
      <c r="M80" s="2"/>
      <c r="N80" s="2"/>
      <c r="O80" s="2"/>
      <c r="P80" s="36">
        <f t="shared" si="84"/>
        <v>22</v>
      </c>
      <c r="Q80" s="6">
        <f t="shared" si="56"/>
        <v>8.2615324260298106E-3</v>
      </c>
      <c r="R80" s="6">
        <f t="shared" si="82"/>
        <v>9.4755472986723932E-2</v>
      </c>
      <c r="S80" s="6">
        <f t="shared" si="72"/>
        <v>8.0623996721501931E-2</v>
      </c>
      <c r="T80" s="6">
        <f t="shared" si="85"/>
        <v>6.2574554235911628E-2</v>
      </c>
      <c r="U80" s="6">
        <f t="shared" si="86"/>
        <v>5.864498459665092E-2</v>
      </c>
      <c r="V80" s="2">
        <v>0</v>
      </c>
      <c r="W80" s="2">
        <v>55349599</v>
      </c>
      <c r="X80" s="2">
        <v>1873702</v>
      </c>
      <c r="Y80" s="2">
        <v>291213</v>
      </c>
      <c r="Z80" s="2">
        <v>41035</v>
      </c>
      <c r="AA80" s="2">
        <v>0</v>
      </c>
      <c r="AB80" s="2">
        <v>26753</v>
      </c>
      <c r="AC80" s="2">
        <v>22517.77</v>
      </c>
      <c r="AD80" s="2">
        <v>1248201.96</v>
      </c>
      <c r="AE80" s="4">
        <f t="shared" si="88"/>
        <v>1.3868910666666666E-2</v>
      </c>
      <c r="AF80" s="2">
        <v>43818699.640000001</v>
      </c>
      <c r="AG80" s="5">
        <f t="shared" ref="AG80:AG94" si="89">+AF80/$AF$4</f>
        <v>0.57618276975673899</v>
      </c>
      <c r="AH80" s="2">
        <f t="shared" si="58"/>
        <v>42090151.330729783</v>
      </c>
      <c r="AI80" s="2">
        <f t="shared" si="31"/>
        <v>13950000</v>
      </c>
      <c r="AJ80" s="5">
        <f t="shared" ref="AJ80" si="90">+AI80/AI$4</f>
        <v>1</v>
      </c>
      <c r="AK80" s="4">
        <f t="shared" si="52"/>
        <v>0.75925018050708082</v>
      </c>
      <c r="AL80" s="9">
        <v>800000</v>
      </c>
      <c r="AM80" s="4">
        <f t="shared" si="53"/>
        <v>0.25461148470425277</v>
      </c>
      <c r="AO80" s="8">
        <f t="shared" si="59"/>
        <v>0.9590470136494571</v>
      </c>
      <c r="AP80" s="8">
        <f t="shared" si="60"/>
        <v>3.2465787287257762E-2</v>
      </c>
      <c r="AQ80" s="8">
        <f t="shared" si="61"/>
        <v>5.0458713889851188E-3</v>
      </c>
      <c r="AR80" s="8">
        <f t="shared" si="62"/>
        <v>7.1101678993384346E-4</v>
      </c>
      <c r="AS80" s="8">
        <f t="shared" si="63"/>
        <v>0</v>
      </c>
      <c r="AT80" s="8">
        <f t="shared" si="64"/>
        <v>4.6355141174851016E-4</v>
      </c>
    </row>
    <row r="81" spans="1:46" x14ac:dyDescent="0.25">
      <c r="A81">
        <f t="shared" si="65"/>
        <v>77</v>
      </c>
      <c r="B81" s="3">
        <v>41518</v>
      </c>
      <c r="C81" s="4">
        <f>+C80</f>
        <v>0.06</v>
      </c>
      <c r="D81">
        <v>2637</v>
      </c>
      <c r="E81" s="2">
        <v>57312589.030000001</v>
      </c>
      <c r="G81" s="5">
        <f t="shared" si="54"/>
        <v>0.63680654477777776</v>
      </c>
      <c r="H81" s="2">
        <f t="shared" si="55"/>
        <v>283120.98453207547</v>
      </c>
      <c r="I81" s="2">
        <v>240497.33</v>
      </c>
      <c r="J81" s="2"/>
      <c r="K81" s="2"/>
      <c r="L81" s="2"/>
      <c r="M81" s="2"/>
      <c r="N81" s="2"/>
      <c r="O81" s="2"/>
      <c r="P81" s="36">
        <f t="shared" si="84"/>
        <v>13</v>
      </c>
      <c r="Q81" s="6">
        <f t="shared" si="56"/>
        <v>4.1671168408495239E-3</v>
      </c>
      <c r="R81" s="6">
        <f t="shared" si="82"/>
        <v>4.887509238716603E-2</v>
      </c>
      <c r="S81" s="6">
        <f t="shared" si="72"/>
        <v>7.8033649484799253E-2</v>
      </c>
      <c r="T81" s="6">
        <f t="shared" si="85"/>
        <v>6.1839499255576559E-2</v>
      </c>
      <c r="U81" s="6">
        <f t="shared" si="86"/>
        <v>5.8891128875173081E-2</v>
      </c>
      <c r="V81" s="2">
        <v>0</v>
      </c>
      <c r="W81" s="2">
        <v>55223685</v>
      </c>
      <c r="X81" s="2">
        <v>1553441</v>
      </c>
      <c r="Y81" s="2">
        <v>358222</v>
      </c>
      <c r="Z81" s="2">
        <v>19666</v>
      </c>
      <c r="AA81" s="2"/>
      <c r="AB81" s="2"/>
      <c r="AC81" s="2"/>
      <c r="AD81" s="2">
        <v>1274955.1599999999</v>
      </c>
      <c r="AE81" s="4">
        <f t="shared" si="88"/>
        <v>1.4166168444444443E-2</v>
      </c>
      <c r="AF81" s="2">
        <v>43498872.020000003</v>
      </c>
      <c r="AG81" s="5">
        <f t="shared" si="89"/>
        <v>0.57197727836949375</v>
      </c>
      <c r="AH81" s="2">
        <f t="shared" si="58"/>
        <v>41782940.184891522</v>
      </c>
      <c r="AI81" s="2">
        <f t="shared" si="31"/>
        <v>13950000</v>
      </c>
      <c r="AJ81" s="5">
        <f t="shared" ref="AJ81" si="91">+AI81/AI$4</f>
        <v>1</v>
      </c>
      <c r="AK81" s="4">
        <f t="shared" si="52"/>
        <v>0.75897586823779195</v>
      </c>
      <c r="AL81" s="9">
        <v>800000</v>
      </c>
      <c r="AM81" s="4">
        <f t="shared" si="53"/>
        <v>0.25498267060227409</v>
      </c>
      <c r="AO81" s="8">
        <f t="shared" si="59"/>
        <v>0.96355243995509299</v>
      </c>
      <c r="AP81" s="8">
        <f t="shared" si="60"/>
        <v>2.7104708167813858E-2</v>
      </c>
      <c r="AQ81" s="8">
        <f t="shared" si="61"/>
        <v>6.2503196254576881E-3</v>
      </c>
      <c r="AR81" s="8">
        <f t="shared" si="62"/>
        <v>3.4313578103592436E-4</v>
      </c>
      <c r="AS81" s="8">
        <f t="shared" si="63"/>
        <v>0</v>
      </c>
      <c r="AT81" s="8">
        <f t="shared" si="64"/>
        <v>0</v>
      </c>
    </row>
    <row r="82" spans="1:46" x14ac:dyDescent="0.25">
      <c r="A82">
        <f t="shared" si="65"/>
        <v>78</v>
      </c>
      <c r="B82" s="3">
        <v>41548</v>
      </c>
      <c r="C82" s="4">
        <f>+C81</f>
        <v>0.06</v>
      </c>
      <c r="D82">
        <v>2623</v>
      </c>
      <c r="E82" s="2">
        <v>56828027.979999997</v>
      </c>
      <c r="G82" s="5">
        <f t="shared" si="54"/>
        <v>0.63142253311111107</v>
      </c>
      <c r="H82" s="2">
        <f t="shared" si="55"/>
        <v>304276.16474023514</v>
      </c>
      <c r="I82" s="2">
        <v>292081.51</v>
      </c>
      <c r="J82" s="2"/>
      <c r="K82" s="2"/>
      <c r="L82" s="2"/>
      <c r="M82" s="2"/>
      <c r="N82" s="2"/>
      <c r="O82" s="2"/>
      <c r="P82" s="36">
        <f t="shared" si="84"/>
        <v>14</v>
      </c>
      <c r="Q82" s="6">
        <f t="shared" si="56"/>
        <v>5.0962888772501857E-3</v>
      </c>
      <c r="R82" s="6">
        <f t="shared" si="82"/>
        <v>5.9470092307608358E-2</v>
      </c>
      <c r="S82" s="6">
        <f t="shared" si="72"/>
        <v>6.7700219227166111E-2</v>
      </c>
      <c r="T82" s="6">
        <f t="shared" si="85"/>
        <v>6.1295328716824395E-2</v>
      </c>
      <c r="U82" s="6">
        <f t="shared" si="86"/>
        <v>5.9716706877441558E-2</v>
      </c>
      <c r="V82" s="2">
        <v>0</v>
      </c>
      <c r="W82" s="2">
        <v>54745769</v>
      </c>
      <c r="X82" s="2">
        <v>1688455</v>
      </c>
      <c r="Y82" s="2">
        <v>208584</v>
      </c>
      <c r="Z82" s="2">
        <v>27645</v>
      </c>
      <c r="AA82" s="2">
        <v>0</v>
      </c>
      <c r="AB82" s="2">
        <v>0</v>
      </c>
      <c r="AC82" s="2">
        <v>0</v>
      </c>
      <c r="AD82" s="2">
        <v>1248201.96</v>
      </c>
      <c r="AE82" s="4">
        <f t="shared" si="88"/>
        <v>1.3868910666666666E-2</v>
      </c>
      <c r="AF82" s="2">
        <v>43088366.420000002</v>
      </c>
      <c r="AG82" s="5">
        <f t="shared" si="89"/>
        <v>0.56657944010519401</v>
      </c>
      <c r="AH82" s="2">
        <f t="shared" si="58"/>
        <v>41388628.099684417</v>
      </c>
      <c r="AI82" s="2">
        <f t="shared" si="31"/>
        <v>13950000</v>
      </c>
      <c r="AJ82" s="5">
        <f t="shared" ref="AJ82:AJ91" si="92">+AI82/AI$4</f>
        <v>1</v>
      </c>
      <c r="AK82" s="4">
        <f t="shared" si="52"/>
        <v>0.75822385452411756</v>
      </c>
      <c r="AL82" s="9">
        <v>800000</v>
      </c>
      <c r="AM82" s="4">
        <f t="shared" si="53"/>
        <v>0.25585370594096757</v>
      </c>
      <c r="AO82" s="8">
        <f t="shared" si="59"/>
        <v>0.9633585916313544</v>
      </c>
      <c r="AP82" s="8">
        <f t="shared" si="60"/>
        <v>2.9711659193844157E-2</v>
      </c>
      <c r="AQ82" s="8">
        <f t="shared" si="61"/>
        <v>3.670442340061648E-3</v>
      </c>
      <c r="AR82" s="8">
        <f t="shared" si="62"/>
        <v>4.8646769882159833E-4</v>
      </c>
      <c r="AS82" s="8">
        <f t="shared" si="63"/>
        <v>0</v>
      </c>
      <c r="AT82" s="8">
        <f t="shared" si="64"/>
        <v>0</v>
      </c>
    </row>
    <row r="83" spans="1:46" x14ac:dyDescent="0.25">
      <c r="A83">
        <f t="shared" si="65"/>
        <v>79</v>
      </c>
      <c r="B83" s="3">
        <v>41579</v>
      </c>
      <c r="C83" s="4">
        <v>5.7500000000000002E-2</v>
      </c>
      <c r="D83">
        <v>2615</v>
      </c>
      <c r="E83" s="2">
        <v>56507720.75</v>
      </c>
      <c r="G83" s="5">
        <f t="shared" si="54"/>
        <v>0.62786356388888886</v>
      </c>
      <c r="H83" s="2">
        <f t="shared" si="55"/>
        <v>173322.23554708349</v>
      </c>
      <c r="I83" s="2">
        <v>153202.03</v>
      </c>
      <c r="J83" s="2"/>
      <c r="K83" s="2"/>
      <c r="L83" s="2"/>
      <c r="M83" s="2"/>
      <c r="N83" s="2"/>
      <c r="O83" s="2"/>
      <c r="P83" s="36">
        <f t="shared" si="84"/>
        <v>8</v>
      </c>
      <c r="Q83" s="6">
        <f t="shared" si="56"/>
        <v>2.695888550873484E-3</v>
      </c>
      <c r="R83" s="6">
        <f t="shared" si="82"/>
        <v>3.1875271289530493E-2</v>
      </c>
      <c r="S83" s="6">
        <f t="shared" si="72"/>
        <v>4.6740151994768296E-2</v>
      </c>
      <c r="T83" s="6">
        <f t="shared" si="85"/>
        <v>5.8419090277444567E-2</v>
      </c>
      <c r="U83" s="6">
        <f t="shared" si="86"/>
        <v>5.9668090245889052E-2</v>
      </c>
      <c r="V83" s="2">
        <v>351624.2</v>
      </c>
      <c r="W83" s="2">
        <v>54620927</v>
      </c>
      <c r="X83" s="2">
        <v>1333500</v>
      </c>
      <c r="Y83" s="2">
        <v>353467</v>
      </c>
      <c r="Z83" s="2">
        <v>14607</v>
      </c>
      <c r="AA83" s="2">
        <v>27645</v>
      </c>
      <c r="AB83" s="2">
        <v>0</v>
      </c>
      <c r="AC83" s="2">
        <v>0</v>
      </c>
      <c r="AD83" s="2">
        <v>1274955.06</v>
      </c>
      <c r="AE83" s="4">
        <f t="shared" ref="AE83:AE87" si="93">+AD83/$E$4</f>
        <v>1.4166167333333334E-2</v>
      </c>
      <c r="AF83" s="2">
        <v>42502972.07</v>
      </c>
      <c r="AG83" s="5">
        <f t="shared" si="89"/>
        <v>0.55888194700854699</v>
      </c>
      <c r="AH83" s="2">
        <f t="shared" si="58"/>
        <v>40826326.228974357</v>
      </c>
      <c r="AI83" s="2">
        <f t="shared" ref="AI83:AI89" si="94">+AI82</f>
        <v>13950000</v>
      </c>
      <c r="AJ83" s="5">
        <f t="shared" si="92"/>
        <v>1</v>
      </c>
      <c r="AK83" s="4">
        <f t="shared" si="52"/>
        <v>0.7521622090906932</v>
      </c>
      <c r="AL83" s="9">
        <v>670000</v>
      </c>
      <c r="AM83" s="4">
        <f t="shared" si="53"/>
        <v>0.25969457775378424</v>
      </c>
      <c r="AO83" s="8">
        <f t="shared" si="59"/>
        <v>0.96660998311456403</v>
      </c>
      <c r="AP83" s="8">
        <f t="shared" si="60"/>
        <v>2.3598545159866494E-2</v>
      </c>
      <c r="AQ83" s="8">
        <f t="shared" si="61"/>
        <v>6.2551983217266818E-3</v>
      </c>
      <c r="AR83" s="8">
        <f t="shared" si="62"/>
        <v>2.5849564990638909E-4</v>
      </c>
      <c r="AS83" s="8">
        <f t="shared" si="63"/>
        <v>4.8922518256056186E-4</v>
      </c>
      <c r="AT83" s="8">
        <f t="shared" si="64"/>
        <v>0</v>
      </c>
    </row>
    <row r="84" spans="1:46" x14ac:dyDescent="0.25">
      <c r="A84">
        <f t="shared" si="65"/>
        <v>80</v>
      </c>
      <c r="B84" s="3">
        <v>41609</v>
      </c>
      <c r="C84" s="4">
        <v>5.7500000000000002E-2</v>
      </c>
      <c r="D84">
        <v>2596</v>
      </c>
      <c r="E84" s="2">
        <v>55920538.5</v>
      </c>
      <c r="G84" s="5">
        <f t="shared" si="54"/>
        <v>0.62133931666666664</v>
      </c>
      <c r="H84" s="2">
        <f t="shared" si="55"/>
        <v>410572.34961759084</v>
      </c>
      <c r="I84" s="2">
        <v>407662.71</v>
      </c>
      <c r="J84" s="2"/>
      <c r="K84" s="2"/>
      <c r="L84" s="2"/>
      <c r="M84" s="2"/>
      <c r="N84" s="2"/>
      <c r="O84" s="2"/>
      <c r="P84" s="36">
        <f t="shared" si="84"/>
        <v>19</v>
      </c>
      <c r="Q84" s="6">
        <f t="shared" si="56"/>
        <v>7.2142833685253536E-3</v>
      </c>
      <c r="R84" s="6">
        <f t="shared" si="82"/>
        <v>8.3217650775410656E-2</v>
      </c>
      <c r="S84" s="6">
        <f t="shared" si="72"/>
        <v>5.81876714575165E-2</v>
      </c>
      <c r="T84" s="6">
        <f t="shared" si="85"/>
        <v>6.2102190548195213E-2</v>
      </c>
      <c r="U84" s="6">
        <f t="shared" si="86"/>
        <v>5.9832970234857022E-2</v>
      </c>
      <c r="V84" s="2">
        <v>339552.35</v>
      </c>
      <c r="W84" s="2">
        <v>54028965</v>
      </c>
      <c r="X84" s="2">
        <v>1430576</v>
      </c>
      <c r="Y84" s="2">
        <v>222324</v>
      </c>
      <c r="Z84" s="2">
        <v>61363</v>
      </c>
      <c r="AA84" s="2">
        <v>14607</v>
      </c>
      <c r="AB84" s="2">
        <v>27645</v>
      </c>
      <c r="AC84" s="2">
        <v>0</v>
      </c>
      <c r="AD84" s="2">
        <v>1274955.06</v>
      </c>
      <c r="AE84" s="4">
        <f t="shared" si="93"/>
        <v>1.4166167333333334E-2</v>
      </c>
      <c r="AF84" s="2">
        <v>41637432.539999999</v>
      </c>
      <c r="AG84" s="5">
        <f t="shared" si="89"/>
        <v>0.54750075660749509</v>
      </c>
      <c r="AH84" s="2">
        <f t="shared" si="58"/>
        <v>39994930.270177513</v>
      </c>
      <c r="AI84" s="2">
        <f t="shared" si="94"/>
        <v>13950000</v>
      </c>
      <c r="AJ84" s="5">
        <f t="shared" si="92"/>
        <v>1</v>
      </c>
      <c r="AK84" s="4">
        <f t="shared" si="52"/>
        <v>0.74458210984502593</v>
      </c>
      <c r="AL84" s="9">
        <v>670000</v>
      </c>
      <c r="AM84" s="4">
        <f t="shared" si="53"/>
        <v>0.26739917678010205</v>
      </c>
      <c r="AO84" s="8">
        <f t="shared" si="59"/>
        <v>0.96617390406567705</v>
      </c>
      <c r="AP84" s="8">
        <f t="shared" si="60"/>
        <v>2.5582300141834293E-2</v>
      </c>
      <c r="AQ84" s="8">
        <f t="shared" si="61"/>
        <v>3.9757127875297551E-3</v>
      </c>
      <c r="AR84" s="8">
        <f t="shared" si="62"/>
        <v>1.0973249122055576E-3</v>
      </c>
      <c r="AS84" s="8">
        <f t="shared" si="63"/>
        <v>2.6120993094513921E-4</v>
      </c>
      <c r="AT84" s="8">
        <f t="shared" si="64"/>
        <v>4.9436219216665806E-4</v>
      </c>
    </row>
    <row r="85" spans="1:46" x14ac:dyDescent="0.25">
      <c r="A85">
        <f t="shared" si="65"/>
        <v>81</v>
      </c>
      <c r="B85" s="3">
        <v>41640</v>
      </c>
      <c r="C85" s="4">
        <v>5.7500000000000002E-2</v>
      </c>
      <c r="D85">
        <v>2589</v>
      </c>
      <c r="E85" s="2">
        <v>55564194.909999996</v>
      </c>
      <c r="G85" s="5">
        <f t="shared" si="54"/>
        <v>0.61737994344444436</v>
      </c>
      <c r="H85" s="2">
        <f t="shared" si="55"/>
        <v>150787.27638674885</v>
      </c>
      <c r="I85" s="2">
        <v>151004.37</v>
      </c>
      <c r="J85" s="2"/>
      <c r="K85" s="2"/>
      <c r="L85" s="2"/>
      <c r="M85" s="2"/>
      <c r="N85" s="2"/>
      <c r="O85" s="2"/>
      <c r="P85" s="36">
        <f t="shared" si="84"/>
        <v>7</v>
      </c>
      <c r="Q85" s="6">
        <f t="shared" si="56"/>
        <v>2.7003382665923359E-3</v>
      </c>
      <c r="R85" s="6">
        <f t="shared" si="82"/>
        <v>3.1927104314924182E-2</v>
      </c>
      <c r="S85" s="6">
        <f t="shared" si="72"/>
        <v>4.9006675459955108E-2</v>
      </c>
      <c r="T85" s="6">
        <f t="shared" si="85"/>
        <v>5.753491422542633E-2</v>
      </c>
      <c r="U85" s="6">
        <f t="shared" si="86"/>
        <v>5.8650008509539858E-2</v>
      </c>
      <c r="V85" s="2">
        <v>0</v>
      </c>
      <c r="W85" s="2">
        <v>53680274</v>
      </c>
      <c r="X85" s="2">
        <v>1557509</v>
      </c>
      <c r="Y85" s="2">
        <v>149361</v>
      </c>
      <c r="Z85" s="2">
        <v>0</v>
      </c>
      <c r="AA85" s="2">
        <v>0</v>
      </c>
      <c r="AB85" s="2">
        <v>14348</v>
      </c>
      <c r="AC85" s="2">
        <v>27644.98</v>
      </c>
      <c r="AD85" s="2">
        <v>1302600.1399999999</v>
      </c>
      <c r="AE85" s="4">
        <f t="shared" si="93"/>
        <v>1.4473334888888887E-2</v>
      </c>
      <c r="AF85" s="2">
        <v>41353172.409999996</v>
      </c>
      <c r="AG85" s="5">
        <f t="shared" si="89"/>
        <v>0.54376295082182768</v>
      </c>
      <c r="AH85" s="2">
        <f t="shared" si="58"/>
        <v>39721883.557534516</v>
      </c>
      <c r="AI85" s="2">
        <f t="shared" si="94"/>
        <v>13950000</v>
      </c>
      <c r="AJ85" s="5">
        <f t="shared" si="92"/>
        <v>1</v>
      </c>
      <c r="AK85" s="4">
        <f t="shared" si="52"/>
        <v>0.7442413676105939</v>
      </c>
      <c r="AL85" s="9">
        <v>670000</v>
      </c>
      <c r="AM85" s="4">
        <f t="shared" si="53"/>
        <v>0.26781675724994325</v>
      </c>
      <c r="AO85" s="8">
        <f t="shared" si="59"/>
        <v>0.96609469617887067</v>
      </c>
      <c r="AP85" s="8">
        <f t="shared" si="60"/>
        <v>2.8030802975239223E-2</v>
      </c>
      <c r="AQ85" s="8">
        <f t="shared" si="61"/>
        <v>2.6880799810368389E-3</v>
      </c>
      <c r="AR85" s="8">
        <f t="shared" si="62"/>
        <v>0</v>
      </c>
      <c r="AS85" s="8">
        <f t="shared" si="63"/>
        <v>0</v>
      </c>
      <c r="AT85" s="8">
        <f t="shared" si="64"/>
        <v>2.5822384402833781E-4</v>
      </c>
    </row>
    <row r="86" spans="1:46" x14ac:dyDescent="0.25">
      <c r="A86">
        <f t="shared" si="65"/>
        <v>82</v>
      </c>
      <c r="B86" s="3">
        <v>41671</v>
      </c>
      <c r="C86" s="4">
        <v>5.7500000000000002E-2</v>
      </c>
      <c r="D86">
        <v>2571</v>
      </c>
      <c r="E86" s="2">
        <v>54941593.490000002</v>
      </c>
      <c r="G86" s="5">
        <f t="shared" si="54"/>
        <v>0.61046214988888892</v>
      </c>
      <c r="H86" s="2">
        <f t="shared" si="55"/>
        <v>386309.58222479717</v>
      </c>
      <c r="I86" s="2">
        <v>426423.32</v>
      </c>
      <c r="J86" s="2"/>
      <c r="K86" s="2"/>
      <c r="L86" s="2"/>
      <c r="M86" s="2"/>
      <c r="N86" s="2"/>
      <c r="O86" s="2"/>
      <c r="P86" s="36">
        <v>18</v>
      </c>
      <c r="Q86" s="6">
        <f t="shared" si="56"/>
        <v>7.6744263223951755E-3</v>
      </c>
      <c r="R86" s="6">
        <f t="shared" ref="R86:R87" si="95">1-(+Q86-1)^12</f>
        <v>8.8303669459064538E-2</v>
      </c>
      <c r="S86" s="6">
        <f t="shared" si="72"/>
        <v>6.7816141516466463E-2</v>
      </c>
      <c r="T86" s="6">
        <f t="shared" ref="T86:T87" si="96">AVERAGE(R75:R86)</f>
        <v>6.2425907301957441E-2</v>
      </c>
      <c r="U86" s="6">
        <f t="shared" ref="U86:U87" si="97">AVERAGE(R69:R86)</f>
        <v>6.0809085075813542E-2</v>
      </c>
      <c r="V86" s="2"/>
      <c r="W86" s="2">
        <v>53600956</v>
      </c>
      <c r="X86" s="2">
        <v>924632</v>
      </c>
      <c r="Y86" s="2">
        <v>215078</v>
      </c>
      <c r="Z86" s="2">
        <v>43550</v>
      </c>
      <c r="AA86" s="2">
        <v>0</v>
      </c>
      <c r="AB86" s="2">
        <v>0</v>
      </c>
      <c r="AC86" s="2">
        <v>14348.15</v>
      </c>
      <c r="AD86" s="2">
        <f>+AD85+AC86</f>
        <v>1316948.2899999998</v>
      </c>
      <c r="AE86" s="4">
        <f t="shared" si="93"/>
        <v>1.4632758777777775E-2</v>
      </c>
      <c r="AF86" s="2">
        <v>40580737.969999999</v>
      </c>
      <c r="AG86" s="5">
        <f t="shared" si="89"/>
        <v>0.53360602195923734</v>
      </c>
      <c r="AH86" s="2">
        <f t="shared" si="58"/>
        <v>38979919.904122286</v>
      </c>
      <c r="AI86" s="2">
        <f t="shared" si="94"/>
        <v>13950000</v>
      </c>
      <c r="AJ86" s="5">
        <f t="shared" si="92"/>
        <v>1</v>
      </c>
      <c r="AK86" s="4">
        <f t="shared" si="52"/>
        <v>0.73861596273843344</v>
      </c>
      <c r="AL86" s="9">
        <v>670000</v>
      </c>
      <c r="AM86" s="4">
        <f t="shared" si="53"/>
        <v>0.27357880551345481</v>
      </c>
      <c r="AO86" s="8">
        <f t="shared" si="59"/>
        <v>0.97559886044724908</v>
      </c>
      <c r="AP86" s="8">
        <f t="shared" si="60"/>
        <v>1.6829362624298357E-2</v>
      </c>
      <c r="AQ86" s="8">
        <f t="shared" si="61"/>
        <v>3.9146662180292724E-3</v>
      </c>
      <c r="AR86" s="8">
        <f t="shared" si="62"/>
        <v>7.9265993637273372E-4</v>
      </c>
      <c r="AS86" s="8">
        <f t="shared" si="63"/>
        <v>0</v>
      </c>
      <c r="AT86" s="8">
        <f t="shared" si="64"/>
        <v>0</v>
      </c>
    </row>
    <row r="87" spans="1:46" x14ac:dyDescent="0.25">
      <c r="A87">
        <f t="shared" si="65"/>
        <v>83</v>
      </c>
      <c r="B87" s="3">
        <v>41699</v>
      </c>
      <c r="C87" s="4">
        <v>5.7500000000000002E-2</v>
      </c>
      <c r="D87">
        <v>2552</v>
      </c>
      <c r="E87" s="2">
        <v>54332744.700000003</v>
      </c>
      <c r="G87" s="5">
        <f t="shared" si="54"/>
        <v>0.60369716333333334</v>
      </c>
      <c r="H87" s="2">
        <f t="shared" si="55"/>
        <v>149588.15808245819</v>
      </c>
      <c r="I87" s="2">
        <v>414013.9</v>
      </c>
      <c r="J87" s="2"/>
      <c r="K87" s="2"/>
      <c r="L87" s="2"/>
      <c r="M87" s="2"/>
      <c r="N87" s="2"/>
      <c r="O87" s="2"/>
      <c r="P87" s="36">
        <v>7</v>
      </c>
      <c r="Q87" s="6">
        <f t="shared" si="56"/>
        <v>7.5355277068065978E-3</v>
      </c>
      <c r="R87" s="6">
        <f t="shared" si="95"/>
        <v>8.6771137446129298E-2</v>
      </c>
      <c r="S87" s="6">
        <f t="shared" si="72"/>
        <v>6.9000637073372673E-2</v>
      </c>
      <c r="T87" s="6">
        <f t="shared" si="96"/>
        <v>6.4813418790475016E-2</v>
      </c>
      <c r="U87" s="6">
        <f t="shared" si="97"/>
        <v>6.24243842588659E-2</v>
      </c>
      <c r="V87" s="2"/>
      <c r="W87" s="2">
        <v>52331121</v>
      </c>
      <c r="X87" s="2">
        <v>1516927</v>
      </c>
      <c r="Y87" s="2">
        <v>339816</v>
      </c>
      <c r="Z87" s="2">
        <v>14173</v>
      </c>
      <c r="AA87" s="2">
        <v>0</v>
      </c>
      <c r="AB87" s="2">
        <v>0</v>
      </c>
      <c r="AD87" s="2">
        <v>1316948.1599999999</v>
      </c>
      <c r="AE87" s="4">
        <f t="shared" si="93"/>
        <v>1.4632757333333333E-2</v>
      </c>
      <c r="AF87" s="2">
        <v>40036223.390000001</v>
      </c>
      <c r="AG87" s="5">
        <f t="shared" si="89"/>
        <v>0.52644606692965157</v>
      </c>
      <c r="AH87" s="2">
        <f t="shared" si="58"/>
        <v>38456885.189211048</v>
      </c>
      <c r="AI87" s="2">
        <f t="shared" si="94"/>
        <v>13950000</v>
      </c>
      <c r="AJ87" s="5">
        <f t="shared" si="92"/>
        <v>1</v>
      </c>
      <c r="AK87" s="4">
        <f t="shared" si="52"/>
        <v>0.73687099024835379</v>
      </c>
      <c r="AL87" s="9">
        <v>670000</v>
      </c>
      <c r="AM87" s="4">
        <f t="shared" si="53"/>
        <v>0.27546043169065226</v>
      </c>
      <c r="AO87" s="8">
        <f t="shared" si="59"/>
        <v>0.96315990088385861</v>
      </c>
      <c r="AP87" s="8">
        <f t="shared" si="60"/>
        <v>2.7919204309956383E-2</v>
      </c>
      <c r="AQ87" s="8">
        <f t="shared" si="61"/>
        <v>6.2543499666049447E-3</v>
      </c>
      <c r="AR87" s="8">
        <f t="shared" si="62"/>
        <v>2.6085558677840911E-4</v>
      </c>
      <c r="AS87" s="8">
        <f t="shared" si="63"/>
        <v>0</v>
      </c>
      <c r="AT87" s="8">
        <f t="shared" si="64"/>
        <v>0</v>
      </c>
    </row>
    <row r="88" spans="1:46" x14ac:dyDescent="0.25">
      <c r="A88">
        <f t="shared" si="65"/>
        <v>84</v>
      </c>
      <c r="B88" s="3">
        <v>41730</v>
      </c>
      <c r="C88" s="4">
        <v>5.7500000000000002E-2</v>
      </c>
      <c r="D88">
        <v>2545</v>
      </c>
      <c r="E88" s="2">
        <v>53981539.420000002</v>
      </c>
      <c r="G88" s="5">
        <f t="shared" si="54"/>
        <v>0.59979488244444445</v>
      </c>
      <c r="H88" s="2">
        <f t="shared" si="55"/>
        <v>149031.8232366771</v>
      </c>
      <c r="I88" s="2">
        <v>161925.74</v>
      </c>
      <c r="J88" s="2"/>
      <c r="K88" s="2"/>
      <c r="L88" s="2"/>
      <c r="M88" s="2"/>
      <c r="N88" s="2"/>
      <c r="O88" s="2"/>
      <c r="P88" s="36">
        <v>7</v>
      </c>
      <c r="Q88" s="6">
        <f t="shared" si="56"/>
        <v>2.9802606309340374E-3</v>
      </c>
      <c r="R88" s="6">
        <f t="shared" ref="R88:R90" si="98">1-(+Q88-1)^12</f>
        <v>3.5182703298347495E-2</v>
      </c>
      <c r="S88" s="6">
        <f t="shared" si="72"/>
        <v>7.0085836734513782E-2</v>
      </c>
      <c r="T88" s="6">
        <f t="shared" ref="T88:T90" si="99">AVERAGE(R77:R88)</f>
        <v>6.43147550119927E-2</v>
      </c>
      <c r="U88" s="6">
        <f t="shared" ref="U88" si="100">AVERAGE(R71:R88)</f>
        <v>6.0712304510294413E-2</v>
      </c>
      <c r="V88" s="2">
        <v>0</v>
      </c>
      <c r="W88" s="2">
        <v>51754158</v>
      </c>
      <c r="X88" s="2">
        <v>1563179</v>
      </c>
      <c r="Y88" s="2">
        <v>45664</v>
      </c>
      <c r="Z88" s="2">
        <v>76855</v>
      </c>
      <c r="AA88" s="2">
        <v>0</v>
      </c>
      <c r="AB88" s="2">
        <v>0</v>
      </c>
      <c r="AC88" s="2">
        <v>0</v>
      </c>
      <c r="AD88" s="2">
        <v>1316948.19</v>
      </c>
      <c r="AE88" s="4">
        <f t="shared" ref="AE88:AE97" si="101">+AD88/$E$4</f>
        <v>1.4632757666666666E-2</v>
      </c>
      <c r="AF88" s="2">
        <v>39746099.659999996</v>
      </c>
      <c r="AG88" s="5">
        <f t="shared" si="89"/>
        <v>0.52263115923734382</v>
      </c>
      <c r="AH88" s="2">
        <f t="shared" si="58"/>
        <v>38178206.182287969</v>
      </c>
      <c r="AI88" s="2">
        <f t="shared" si="94"/>
        <v>13950000</v>
      </c>
      <c r="AJ88" s="5">
        <f t="shared" si="92"/>
        <v>1</v>
      </c>
      <c r="AK88" s="4">
        <f t="shared" si="52"/>
        <v>0.73629059280354991</v>
      </c>
      <c r="AL88" s="9">
        <v>670000</v>
      </c>
      <c r="AM88" s="4">
        <f t="shared" si="53"/>
        <v>0.27612105768287121</v>
      </c>
      <c r="AO88" s="8">
        <f t="shared" si="59"/>
        <v>0.95873809002240562</v>
      </c>
      <c r="AP88" s="8">
        <f t="shared" si="60"/>
        <v>2.8957658799571892E-2</v>
      </c>
      <c r="AQ88" s="8">
        <f t="shared" si="61"/>
        <v>8.4591881762974741E-4</v>
      </c>
      <c r="AR88" s="8">
        <f t="shared" si="62"/>
        <v>1.4237274599013278E-3</v>
      </c>
      <c r="AS88" s="8">
        <f t="shared" si="63"/>
        <v>0</v>
      </c>
      <c r="AT88" s="8">
        <f t="shared" si="64"/>
        <v>0</v>
      </c>
    </row>
    <row r="89" spans="1:46" x14ac:dyDescent="0.25">
      <c r="A89">
        <f t="shared" si="65"/>
        <v>85</v>
      </c>
      <c r="B89" s="3">
        <v>41760</v>
      </c>
      <c r="C89" s="4">
        <v>5.7500000000000002E-2</v>
      </c>
      <c r="D89">
        <v>2534</v>
      </c>
      <c r="E89" s="2">
        <v>53559977.899999999</v>
      </c>
      <c r="G89" s="5">
        <f t="shared" si="54"/>
        <v>0.59511086555555559</v>
      </c>
      <c r="H89" s="2">
        <f t="shared" si="55"/>
        <v>233319.03089194497</v>
      </c>
      <c r="I89" s="2">
        <v>210519.79</v>
      </c>
      <c r="J89" s="2"/>
      <c r="K89" s="2"/>
      <c r="L89" s="2"/>
      <c r="M89" s="2"/>
      <c r="N89" s="2"/>
      <c r="O89" s="2"/>
      <c r="P89" s="36">
        <v>11</v>
      </c>
      <c r="Q89" s="6">
        <f t="shared" si="56"/>
        <v>3.8998478417235178E-3</v>
      </c>
      <c r="R89" s="6">
        <f t="shared" si="98"/>
        <v>4.5807327296574996E-2</v>
      </c>
      <c r="S89" s="6">
        <f t="shared" si="72"/>
        <v>5.5920389347017263E-2</v>
      </c>
      <c r="T89" s="6">
        <f t="shared" si="99"/>
        <v>6.277516989493849E-2</v>
      </c>
      <c r="U89" s="6">
        <f>AVERAGE(R72:R89)</f>
        <v>5.9568815328876999E-2</v>
      </c>
      <c r="V89" s="2">
        <v>294219.46000000002</v>
      </c>
      <c r="W89" s="2">
        <v>51780206</v>
      </c>
      <c r="X89" s="2">
        <v>1116797</v>
      </c>
      <c r="Y89" s="2">
        <v>381126</v>
      </c>
      <c r="Z89" s="2">
        <v>140652</v>
      </c>
      <c r="AA89" s="2">
        <v>23641</v>
      </c>
      <c r="AB89" s="2">
        <v>0</v>
      </c>
      <c r="AC89" s="2">
        <v>0</v>
      </c>
      <c r="AD89" s="2">
        <v>1316948.19</v>
      </c>
      <c r="AE89" s="4">
        <f t="shared" si="101"/>
        <v>1.4632757666666666E-2</v>
      </c>
      <c r="AF89" s="2">
        <v>39241644.579999998</v>
      </c>
      <c r="AG89" s="5">
        <f t="shared" si="89"/>
        <v>0.51599795634451018</v>
      </c>
      <c r="AH89" s="2">
        <f t="shared" si="58"/>
        <v>37693650.710966468</v>
      </c>
      <c r="AI89" s="2">
        <f t="shared" si="94"/>
        <v>13950000</v>
      </c>
      <c r="AJ89" s="5">
        <f t="shared" si="92"/>
        <v>1</v>
      </c>
      <c r="AK89" s="4">
        <f t="shared" si="52"/>
        <v>0.73266730343441755</v>
      </c>
      <c r="AL89" s="9">
        <v>670000</v>
      </c>
      <c r="AM89" s="4">
        <f t="shared" si="53"/>
        <v>0.27984203705207278</v>
      </c>
      <c r="AO89" s="8">
        <f t="shared" si="59"/>
        <v>0.96677048852927183</v>
      </c>
      <c r="AP89" s="8">
        <f t="shared" si="60"/>
        <v>2.0851334219837311E-2</v>
      </c>
      <c r="AQ89" s="8">
        <f t="shared" si="61"/>
        <v>7.1158729884390039E-3</v>
      </c>
      <c r="AR89" s="8">
        <f t="shared" si="62"/>
        <v>2.626065310605739E-3</v>
      </c>
      <c r="AS89" s="8">
        <f t="shared" si="63"/>
        <v>4.4139301259868522E-4</v>
      </c>
      <c r="AT89" s="8">
        <f t="shared" si="64"/>
        <v>0</v>
      </c>
    </row>
    <row r="90" spans="1:46" x14ac:dyDescent="0.25">
      <c r="A90">
        <f t="shared" si="65"/>
        <v>86</v>
      </c>
      <c r="B90" s="3">
        <v>41791</v>
      </c>
      <c r="C90" s="4">
        <v>5.7500000000000002E-2</v>
      </c>
      <c r="D90">
        <v>2523</v>
      </c>
      <c r="E90" s="2">
        <v>53166469.32</v>
      </c>
      <c r="G90" s="5">
        <f t="shared" si="54"/>
        <v>0.59073854800000003</v>
      </c>
      <c r="H90" s="2">
        <f t="shared" si="55"/>
        <v>232501.87722967641</v>
      </c>
      <c r="I90" s="2">
        <v>208142.74</v>
      </c>
      <c r="J90" s="2"/>
      <c r="K90" s="2"/>
      <c r="L90" s="2"/>
      <c r="M90" s="2"/>
      <c r="N90" s="2"/>
      <c r="O90" s="2"/>
      <c r="P90" s="36">
        <v>11</v>
      </c>
      <c r="Q90" s="6">
        <f t="shared" si="56"/>
        <v>3.8861617976881204E-3</v>
      </c>
      <c r="R90" s="6">
        <f t="shared" si="98"/>
        <v>4.5649992396406103E-2</v>
      </c>
      <c r="S90" s="6">
        <f t="shared" si="72"/>
        <v>4.2213340997109529E-2</v>
      </c>
      <c r="T90" s="6">
        <f t="shared" si="99"/>
        <v>6.1858824753199489E-2</v>
      </c>
      <c r="U90" s="6">
        <f>AVERAGE(R73:R90)</f>
        <v>5.9937123377210501E-2</v>
      </c>
      <c r="V90" s="2"/>
      <c r="W90" s="2">
        <v>51633648</v>
      </c>
      <c r="X90" s="2">
        <v>919508</v>
      </c>
      <c r="Y90" s="2">
        <v>405442</v>
      </c>
      <c r="Z90" s="2">
        <v>52902</v>
      </c>
      <c r="AA90" s="2">
        <v>13773</v>
      </c>
      <c r="AB90" s="2">
        <v>26341</v>
      </c>
      <c r="AC90" s="2">
        <v>0</v>
      </c>
      <c r="AD90" s="2">
        <v>1316948.19</v>
      </c>
      <c r="AE90" s="4">
        <f t="shared" si="101"/>
        <v>1.4632757666666666E-2</v>
      </c>
      <c r="AF90" s="2">
        <v>38958971.93</v>
      </c>
      <c r="AG90" s="5">
        <f t="shared" si="89"/>
        <v>0.51228102472057857</v>
      </c>
      <c r="AH90" s="2">
        <f t="shared" si="58"/>
        <v>37422128.855838262</v>
      </c>
      <c r="AI90" s="2">
        <f>+AI89</f>
        <v>13950000</v>
      </c>
      <c r="AJ90" s="5">
        <f t="shared" si="92"/>
        <v>1</v>
      </c>
      <c r="AK90" s="4">
        <f t="shared" si="52"/>
        <v>0.73277335185664727</v>
      </c>
      <c r="AL90" s="9">
        <v>670000</v>
      </c>
      <c r="AM90" s="4">
        <f t="shared" si="53"/>
        <v>0.27982857579755493</v>
      </c>
      <c r="AO90" s="8">
        <f t="shared" si="59"/>
        <v>0.97116939793812129</v>
      </c>
      <c r="AP90" s="8">
        <f t="shared" si="60"/>
        <v>1.7294885512627079E-2</v>
      </c>
      <c r="AQ90" s="8">
        <f t="shared" si="61"/>
        <v>7.6258966447388683E-3</v>
      </c>
      <c r="AR90" s="8">
        <f t="shared" si="62"/>
        <v>9.9502563695911032E-4</v>
      </c>
      <c r="AS90" s="8">
        <f t="shared" si="63"/>
        <v>2.5905425310645771E-4</v>
      </c>
      <c r="AT90" s="8">
        <f t="shared" si="64"/>
        <v>4.9544384528259666E-4</v>
      </c>
    </row>
    <row r="91" spans="1:46" x14ac:dyDescent="0.25">
      <c r="A91">
        <f t="shared" si="65"/>
        <v>87</v>
      </c>
      <c r="B91" s="3">
        <v>41821</v>
      </c>
      <c r="C91" s="4">
        <v>5.7500000000000002E-2</v>
      </c>
      <c r="D91">
        <v>2508</v>
      </c>
      <c r="E91" s="2">
        <v>52746510.210000001</v>
      </c>
      <c r="G91" s="5">
        <f t="shared" si="54"/>
        <v>0.58607233566666672</v>
      </c>
      <c r="H91" s="2">
        <f t="shared" si="55"/>
        <v>316090.78073721757</v>
      </c>
      <c r="I91" s="2">
        <v>255358.42</v>
      </c>
      <c r="J91" s="2"/>
      <c r="K91" s="2"/>
      <c r="L91" s="2"/>
      <c r="M91" s="2"/>
      <c r="N91" s="2"/>
      <c r="O91" s="2"/>
      <c r="P91" s="36">
        <v>15</v>
      </c>
      <c r="Q91" s="6">
        <f t="shared" si="56"/>
        <v>4.802997514524442E-3</v>
      </c>
      <c r="R91" s="6">
        <f t="shared" ref="R91" si="102">1-(+Q91-1)^12</f>
        <v>5.6137544795430094E-2</v>
      </c>
      <c r="S91" s="6">
        <f t="shared" ref="S91" si="103">AVERAGE(R89:R91)</f>
        <v>4.9198288162803729E-2</v>
      </c>
      <c r="T91" s="6">
        <f t="shared" ref="T91" si="104">AVERAGE(R80:R91)</f>
        <v>5.8997754896109679E-2</v>
      </c>
      <c r="U91" s="6">
        <f>AVERAGE(R74:R91)</f>
        <v>5.8237296966503801E-2</v>
      </c>
      <c r="V91" s="2">
        <v>0</v>
      </c>
      <c r="W91" s="2">
        <v>51007259</v>
      </c>
      <c r="X91" s="2">
        <v>1211280</v>
      </c>
      <c r="Y91" s="2">
        <v>294287</v>
      </c>
      <c r="Z91" s="2">
        <v>94780</v>
      </c>
      <c r="AA91" s="2">
        <v>26092</v>
      </c>
      <c r="AB91" s="2">
        <v>13773</v>
      </c>
      <c r="AC91" s="2">
        <v>26341.27</v>
      </c>
      <c r="AD91" s="2">
        <f>+AD90+AC91</f>
        <v>1343289.46</v>
      </c>
      <c r="AE91" s="4">
        <f t="shared" si="101"/>
        <v>1.4925438444444444E-2</v>
      </c>
      <c r="AF91" s="2">
        <v>38659239.979999997</v>
      </c>
      <c r="AG91" s="5">
        <f t="shared" si="89"/>
        <v>0.50833977619986848</v>
      </c>
      <c r="AH91" s="2">
        <f t="shared" si="58"/>
        <v>37134220.651400395</v>
      </c>
      <c r="AI91" s="2">
        <f>+AI90</f>
        <v>13950000</v>
      </c>
      <c r="AJ91" s="5">
        <f t="shared" si="92"/>
        <v>1</v>
      </c>
      <c r="AK91" s="4">
        <f t="shared" si="52"/>
        <v>0.73292507553742858</v>
      </c>
      <c r="AL91" s="9">
        <v>670000</v>
      </c>
      <c r="AM91" s="4">
        <f t="shared" si="53"/>
        <v>0.27977718660906281</v>
      </c>
      <c r="AO91" s="8">
        <f t="shared" si="59"/>
        <v>0.9670262316298176</v>
      </c>
      <c r="AP91" s="8">
        <f t="shared" si="60"/>
        <v>2.2964173272838784E-2</v>
      </c>
      <c r="AQ91" s="8">
        <f t="shared" si="61"/>
        <v>5.5792695825440091E-3</v>
      </c>
      <c r="AR91" s="8">
        <f t="shared" si="62"/>
        <v>1.7968961287230531E-3</v>
      </c>
      <c r="AS91" s="8">
        <f t="shared" si="63"/>
        <v>4.9466779690485229E-4</v>
      </c>
      <c r="AT91" s="8">
        <f t="shared" si="64"/>
        <v>2.6111680081138014E-4</v>
      </c>
    </row>
    <row r="92" spans="1:46" x14ac:dyDescent="0.25">
      <c r="A92">
        <f t="shared" si="65"/>
        <v>88</v>
      </c>
      <c r="B92" s="3">
        <v>41865</v>
      </c>
      <c r="C92" s="4">
        <v>5.7500000000000002E-2</v>
      </c>
      <c r="D92">
        <v>2497</v>
      </c>
      <c r="E92" s="2">
        <v>52316938.359999999</v>
      </c>
      <c r="G92" s="5">
        <f t="shared" si="54"/>
        <v>0.5812993151111111</v>
      </c>
      <c r="H92" s="2">
        <f t="shared" si="55"/>
        <v>231344.34302631579</v>
      </c>
      <c r="I92" s="2">
        <v>235978.93</v>
      </c>
      <c r="J92" s="2"/>
      <c r="K92" s="2"/>
      <c r="L92" s="2"/>
      <c r="M92" s="2"/>
      <c r="N92" s="2"/>
      <c r="O92" s="2"/>
      <c r="P92" s="36">
        <v>11</v>
      </c>
      <c r="Q92" s="6">
        <f t="shared" si="56"/>
        <v>4.4738301938933144E-3</v>
      </c>
      <c r="R92" s="6">
        <f t="shared" ref="R92:R94" si="105">1-(+Q92-1)^12</f>
        <v>5.2384464873362457E-2</v>
      </c>
      <c r="S92" s="6">
        <f t="shared" ref="S92:S94" si="106">AVERAGE(R90:R92)</f>
        <v>5.139066735506622E-2</v>
      </c>
      <c r="T92" s="6">
        <f t="shared" ref="T92:T94" si="107">AVERAGE(R81:R92)</f>
        <v>5.5466837553329561E-2</v>
      </c>
      <c r="U92" s="6">
        <f t="shared" ref="U92:U94" si="108">AVERAGE(R75:R92)</f>
        <v>5.9502447651652211E-2</v>
      </c>
      <c r="V92" s="2"/>
      <c r="W92" s="2">
        <v>50065093</v>
      </c>
      <c r="X92" s="2">
        <v>1171017</v>
      </c>
      <c r="Y92" s="2">
        <v>911414</v>
      </c>
      <c r="Z92" s="2">
        <v>37930</v>
      </c>
      <c r="AA92" s="2">
        <v>34333</v>
      </c>
      <c r="AB92" s="2">
        <v>26092</v>
      </c>
      <c r="AC92" s="2">
        <v>13772.67</v>
      </c>
      <c r="AD92" s="2">
        <f>+AD91+AC92</f>
        <v>1357062.13</v>
      </c>
      <c r="AE92" s="4">
        <f t="shared" si="101"/>
        <v>1.5078468111111109E-2</v>
      </c>
      <c r="AF92" s="2">
        <v>38300326.729999997</v>
      </c>
      <c r="AG92" s="5">
        <f t="shared" si="89"/>
        <v>0.50362033833004594</v>
      </c>
      <c r="AH92" s="2">
        <f t="shared" si="58"/>
        <v>36789465.715009861</v>
      </c>
      <c r="AI92" s="2">
        <f t="shared" ref="AI92:AI167" si="109">+AI91</f>
        <v>13950000</v>
      </c>
      <c r="AJ92" s="5">
        <f t="shared" ref="AJ92:AJ94" si="110">+AI92/AI$4</f>
        <v>1</v>
      </c>
      <c r="AK92" s="4">
        <f t="shared" si="52"/>
        <v>0.73208272369553085</v>
      </c>
      <c r="AL92" s="9">
        <v>670000</v>
      </c>
      <c r="AM92" s="4">
        <f t="shared" si="53"/>
        <v>0.28072383611096319</v>
      </c>
      <c r="AO92" s="8">
        <f t="shared" si="59"/>
        <v>0.95695762346594626</v>
      </c>
      <c r="AP92" s="8">
        <f t="shared" si="60"/>
        <v>2.2383133201374899E-2</v>
      </c>
      <c r="AQ92" s="8">
        <f t="shared" si="61"/>
        <v>1.7421011790262567E-2</v>
      </c>
      <c r="AR92" s="8">
        <f t="shared" si="62"/>
        <v>7.2500419919450346E-4</v>
      </c>
      <c r="AS92" s="8">
        <f t="shared" si="63"/>
        <v>6.5625017587516181E-4</v>
      </c>
      <c r="AT92" s="8">
        <f t="shared" si="64"/>
        <v>4.9872949025528564E-4</v>
      </c>
    </row>
    <row r="93" spans="1:46" x14ac:dyDescent="0.25">
      <c r="A93">
        <f t="shared" si="65"/>
        <v>89</v>
      </c>
      <c r="B93" s="3">
        <v>41896</v>
      </c>
      <c r="C93" s="4">
        <v>5.7500000000000002E-2</v>
      </c>
      <c r="D93">
        <v>2475</v>
      </c>
      <c r="E93" s="2">
        <v>51695698.460000001</v>
      </c>
      <c r="G93" s="5">
        <f t="shared" si="54"/>
        <v>0.57439664955555558</v>
      </c>
      <c r="H93" s="2">
        <f t="shared" si="55"/>
        <v>460942.18819383264</v>
      </c>
      <c r="I93" s="2">
        <v>426657.03</v>
      </c>
      <c r="J93" s="2"/>
      <c r="K93" s="2"/>
      <c r="L93" s="2"/>
      <c r="M93" s="2"/>
      <c r="N93" s="2"/>
      <c r="O93" s="2"/>
      <c r="P93" s="36">
        <v>22</v>
      </c>
      <c r="Q93" s="6">
        <f t="shared" si="56"/>
        <v>8.1552369724717973E-3</v>
      </c>
      <c r="R93" s="6">
        <f t="shared" si="105"/>
        <v>9.3590486964174269E-2</v>
      </c>
      <c r="S93" s="6">
        <f t="shared" si="106"/>
        <v>6.737083221098894E-2</v>
      </c>
      <c r="T93" s="6">
        <f t="shared" si="107"/>
        <v>5.9193120434746914E-2</v>
      </c>
      <c r="U93" s="6">
        <f t="shared" si="108"/>
        <v>6.1472974728333081E-2</v>
      </c>
      <c r="V93" s="2"/>
      <c r="W93" s="2">
        <v>50105591</v>
      </c>
      <c r="X93" s="2">
        <v>905274</v>
      </c>
      <c r="Y93" s="2">
        <v>483073</v>
      </c>
      <c r="Z93" s="2">
        <v>57707</v>
      </c>
      <c r="AA93" s="2">
        <v>13464</v>
      </c>
      <c r="AB93" s="2">
        <v>18438</v>
      </c>
      <c r="AC93" s="2">
        <v>26091.67</v>
      </c>
      <c r="AD93" s="2">
        <f t="shared" ref="AD93:AD97" si="111">+AD92+AC93</f>
        <v>1383153.7999999998</v>
      </c>
      <c r="AE93" s="4">
        <f t="shared" si="101"/>
        <v>1.5368375555555553E-2</v>
      </c>
      <c r="AF93" s="2">
        <v>37748767.759999998</v>
      </c>
      <c r="AG93" s="5">
        <f t="shared" si="89"/>
        <v>0.49636775489809332</v>
      </c>
      <c r="AH93" s="2">
        <f t="shared" si="58"/>
        <v>36259664.495305717</v>
      </c>
      <c r="AI93" s="2">
        <f t="shared" si="109"/>
        <v>13950000</v>
      </c>
      <c r="AJ93" s="5">
        <f t="shared" si="110"/>
        <v>1</v>
      </c>
      <c r="AK93" s="4">
        <f t="shared" si="52"/>
        <v>0.73021100177625875</v>
      </c>
      <c r="AL93" s="9">
        <v>670000</v>
      </c>
      <c r="AM93" s="4">
        <f t="shared" si="53"/>
        <v>0.28274945760351766</v>
      </c>
      <c r="AO93" s="8">
        <f t="shared" si="59"/>
        <v>0.96924101023162768</v>
      </c>
      <c r="AP93" s="8">
        <f t="shared" si="60"/>
        <v>1.7511592394877182E-2</v>
      </c>
      <c r="AQ93" s="8">
        <f t="shared" si="61"/>
        <v>9.3445492447264637E-3</v>
      </c>
      <c r="AR93" s="8">
        <f t="shared" si="62"/>
        <v>1.1162824319832199E-3</v>
      </c>
      <c r="AS93" s="8">
        <f t="shared" si="63"/>
        <v>2.6044720162583524E-4</v>
      </c>
      <c r="AT93" s="8">
        <f t="shared" si="64"/>
        <v>3.5666410454375741E-4</v>
      </c>
    </row>
    <row r="94" spans="1:46" x14ac:dyDescent="0.25">
      <c r="A94">
        <f t="shared" si="65"/>
        <v>90</v>
      </c>
      <c r="B94" s="3">
        <v>41926</v>
      </c>
      <c r="C94" s="4">
        <v>5.7500000000000002E-2</v>
      </c>
      <c r="D94">
        <v>2466</v>
      </c>
      <c r="E94" s="2">
        <v>51366062.020000003</v>
      </c>
      <c r="G94" s="5">
        <f t="shared" si="54"/>
        <v>0.57073402244444449</v>
      </c>
      <c r="H94" s="2">
        <f t="shared" si="55"/>
        <v>187984.35803636364</v>
      </c>
      <c r="I94" s="2">
        <v>132245.88</v>
      </c>
      <c r="J94" s="2"/>
      <c r="K94" s="2"/>
      <c r="L94" s="2"/>
      <c r="M94" s="2"/>
      <c r="N94" s="2"/>
      <c r="O94" s="2"/>
      <c r="P94" s="36">
        <v>9</v>
      </c>
      <c r="Q94" s="6">
        <f t="shared" si="56"/>
        <v>2.5581602326608744E-3</v>
      </c>
      <c r="R94" s="6">
        <f t="shared" si="105"/>
        <v>3.0269668585739873E-2</v>
      </c>
      <c r="S94" s="6">
        <f t="shared" si="106"/>
        <v>5.8748206807758864E-2</v>
      </c>
      <c r="T94" s="6">
        <f t="shared" si="107"/>
        <v>5.6759751791257869E-2</v>
      </c>
      <c r="U94" s="6">
        <f t="shared" si="108"/>
        <v>6.0867585836422239E-2</v>
      </c>
      <c r="V94" s="2">
        <v>0</v>
      </c>
      <c r="W94" s="2">
        <v>50187818</v>
      </c>
      <c r="X94" s="2">
        <v>731286</v>
      </c>
      <c r="Y94" s="2">
        <v>216697</v>
      </c>
      <c r="Z94" s="2">
        <v>41965</v>
      </c>
      <c r="AA94" s="2">
        <v>57707</v>
      </c>
      <c r="AB94" s="2">
        <v>0</v>
      </c>
      <c r="AC94" s="2">
        <v>18437.509999999998</v>
      </c>
      <c r="AD94" s="2">
        <f t="shared" si="111"/>
        <v>1401591.3099999998</v>
      </c>
      <c r="AE94" s="4">
        <f t="shared" si="101"/>
        <v>1.5573236777777775E-2</v>
      </c>
      <c r="AF94" s="2">
        <v>37398142.82</v>
      </c>
      <c r="AG94" s="5">
        <f t="shared" si="89"/>
        <v>0.49175730203813284</v>
      </c>
      <c r="AH94" s="2">
        <f t="shared" si="58"/>
        <v>35922870.913885601</v>
      </c>
      <c r="AI94" s="2">
        <f t="shared" si="109"/>
        <v>13950000</v>
      </c>
      <c r="AJ94" s="5">
        <f t="shared" si="110"/>
        <v>1</v>
      </c>
      <c r="AK94" s="4">
        <f t="shared" si="52"/>
        <v>0.72807105215577117</v>
      </c>
      <c r="AL94" s="9">
        <v>670000</v>
      </c>
      <c r="AM94" s="4">
        <f t="shared" si="53"/>
        <v>0.28497257964413447</v>
      </c>
      <c r="AO94" s="8">
        <f t="shared" si="59"/>
        <v>0.97706181915325263</v>
      </c>
      <c r="AP94" s="8">
        <f t="shared" si="60"/>
        <v>1.4236754215560945E-2</v>
      </c>
      <c r="AQ94" s="8">
        <f t="shared" si="61"/>
        <v>4.2186804181256173E-3</v>
      </c>
      <c r="AR94" s="8">
        <f t="shared" si="62"/>
        <v>8.1697911713886915E-4</v>
      </c>
      <c r="AS94" s="8">
        <f t="shared" si="63"/>
        <v>1.1234460601151608E-3</v>
      </c>
      <c r="AT94" s="8">
        <f t="shared" si="64"/>
        <v>0</v>
      </c>
    </row>
    <row r="95" spans="1:46" x14ac:dyDescent="0.25">
      <c r="A95">
        <f t="shared" si="65"/>
        <v>91</v>
      </c>
      <c r="B95" s="3">
        <v>41957</v>
      </c>
      <c r="C95" s="4">
        <v>5.5E-2</v>
      </c>
      <c r="D95">
        <v>2452</v>
      </c>
      <c r="E95" s="2">
        <v>50923697.619999997</v>
      </c>
      <c r="G95" s="5">
        <f t="shared" si="54"/>
        <v>0.56581886244444446</v>
      </c>
      <c r="H95" s="2">
        <f t="shared" si="55"/>
        <v>291615.92387672345</v>
      </c>
      <c r="I95" s="2">
        <v>247043.28</v>
      </c>
      <c r="J95" s="2"/>
      <c r="K95" s="2"/>
      <c r="L95" s="2"/>
      <c r="M95" s="2"/>
      <c r="N95" s="2"/>
      <c r="O95" s="2"/>
      <c r="P95" s="36">
        <v>14</v>
      </c>
      <c r="Q95" s="6">
        <f t="shared" si="56"/>
        <v>4.8094650491955311E-3</v>
      </c>
      <c r="R95" s="6">
        <f t="shared" ref="R95:R97" si="112">1-(+Q95-1)^12</f>
        <v>5.621114925706816E-2</v>
      </c>
      <c r="S95" s="6">
        <f t="shared" ref="S95:S97" si="113">AVERAGE(R93:R95)</f>
        <v>6.0023768268994103E-2</v>
      </c>
      <c r="T95" s="6">
        <f t="shared" ref="T95:T97" si="114">AVERAGE(R84:R95)</f>
        <v>5.8787741621886012E-2</v>
      </c>
      <c r="U95" s="6">
        <f t="shared" ref="U95:U97" si="115">AVERAGE(R78:R95)</f>
        <v>6.041918586730239E-2</v>
      </c>
      <c r="V95" s="2">
        <v>622097.01</v>
      </c>
      <c r="W95" s="2">
        <v>49922630</v>
      </c>
      <c r="X95" s="2">
        <v>608614</v>
      </c>
      <c r="Y95" s="2">
        <v>179734</v>
      </c>
      <c r="Z95" s="2">
        <v>37923</v>
      </c>
      <c r="AA95" s="2">
        <v>0</v>
      </c>
      <c r="AB95" s="2">
        <v>57707</v>
      </c>
      <c r="AC95" s="2">
        <v>0</v>
      </c>
      <c r="AD95" s="2">
        <f t="shared" si="111"/>
        <v>1401591.3099999998</v>
      </c>
      <c r="AE95" s="4">
        <f t="shared" si="101"/>
        <v>1.5573236777777775E-2</v>
      </c>
      <c r="AF95" s="2">
        <v>36627859</v>
      </c>
      <c r="AG95" s="5">
        <f t="shared" ref="AG95:AG97" si="116">+AF95/$AF$4</f>
        <v>0.48162865220249834</v>
      </c>
      <c r="AH95" s="2">
        <f t="shared" si="58"/>
        <v>35182973.043392509</v>
      </c>
      <c r="AI95" s="2">
        <f t="shared" si="109"/>
        <v>13950000</v>
      </c>
      <c r="AJ95" s="5">
        <f t="shared" ref="AJ95:AJ97" si="117">+AI95/AI$4</f>
        <v>1</v>
      </c>
      <c r="AK95" s="4">
        <f t="shared" si="52"/>
        <v>0.71926943077312233</v>
      </c>
      <c r="AL95" s="9">
        <v>670000</v>
      </c>
      <c r="AM95" s="4">
        <f t="shared" si="53"/>
        <v>0.29388750855598211</v>
      </c>
      <c r="AO95" s="8">
        <f t="shared" si="59"/>
        <v>0.98034181202884929</v>
      </c>
      <c r="AP95" s="8">
        <f t="shared" si="60"/>
        <v>1.195148876543816E-2</v>
      </c>
      <c r="AQ95" s="8">
        <f t="shared" si="61"/>
        <v>3.5294766169809803E-3</v>
      </c>
      <c r="AR95" s="8">
        <f t="shared" si="62"/>
        <v>7.4470240325019037E-4</v>
      </c>
      <c r="AS95" s="8">
        <f t="shared" si="63"/>
        <v>0</v>
      </c>
      <c r="AT95" s="8">
        <f t="shared" si="64"/>
        <v>1.1332052206934774E-3</v>
      </c>
    </row>
    <row r="96" spans="1:46" x14ac:dyDescent="0.25">
      <c r="A96">
        <f t="shared" si="65"/>
        <v>92</v>
      </c>
      <c r="B96" s="3">
        <v>41987</v>
      </c>
      <c r="C96" s="4">
        <v>5.5E-2</v>
      </c>
      <c r="D96">
        <v>2446</v>
      </c>
      <c r="E96" s="2">
        <v>50630712.43</v>
      </c>
      <c r="G96" s="5">
        <f t="shared" si="54"/>
        <v>0.56256347144444441</v>
      </c>
      <c r="H96" s="2">
        <f t="shared" si="55"/>
        <v>124609.37427406199</v>
      </c>
      <c r="I96" s="2">
        <v>110397.56</v>
      </c>
      <c r="J96" s="2"/>
      <c r="K96" s="2"/>
      <c r="L96" s="2"/>
      <c r="M96" s="2"/>
      <c r="N96" s="2"/>
      <c r="O96" s="2"/>
      <c r="P96" s="36">
        <v>6</v>
      </c>
      <c r="Q96" s="6">
        <f t="shared" si="56"/>
        <v>2.1679014910465175E-3</v>
      </c>
      <c r="R96" s="6">
        <f t="shared" si="112"/>
        <v>2.5706861916303558E-2</v>
      </c>
      <c r="S96" s="6">
        <f t="shared" si="113"/>
        <v>3.7395893253037195E-2</v>
      </c>
      <c r="T96" s="6">
        <f t="shared" si="114"/>
        <v>5.3995175883627088E-2</v>
      </c>
      <c r="U96" s="6">
        <f t="shared" si="115"/>
        <v>5.8700337412804018E-2</v>
      </c>
      <c r="V96" s="2"/>
      <c r="W96" s="2">
        <v>49295941</v>
      </c>
      <c r="X96" s="2">
        <v>843031</v>
      </c>
      <c r="Y96" s="2">
        <v>322428</v>
      </c>
      <c r="Z96" s="2">
        <v>23627</v>
      </c>
      <c r="AA96" s="2">
        <v>14296</v>
      </c>
      <c r="AB96" s="2">
        <v>0</v>
      </c>
      <c r="AC96" s="2">
        <v>14300.08</v>
      </c>
      <c r="AD96" s="2">
        <f t="shared" si="111"/>
        <v>1415891.39</v>
      </c>
      <c r="AE96" s="4">
        <f t="shared" si="101"/>
        <v>1.5732126555555555E-2</v>
      </c>
      <c r="AF96" s="2">
        <v>36370570</v>
      </c>
      <c r="AG96" s="5">
        <f t="shared" si="116"/>
        <v>0.47824549638395791</v>
      </c>
      <c r="AH96" s="2">
        <f t="shared" si="58"/>
        <v>34935833.510848127</v>
      </c>
      <c r="AI96" s="2">
        <f t="shared" si="109"/>
        <v>13950000</v>
      </c>
      <c r="AJ96" s="5">
        <f t="shared" si="117"/>
        <v>1</v>
      </c>
      <c r="AK96" s="4">
        <f t="shared" si="52"/>
        <v>0.71834995508476196</v>
      </c>
      <c r="AL96" s="9">
        <v>670000</v>
      </c>
      <c r="AM96" s="4">
        <f t="shared" si="53"/>
        <v>0.29488311962115521</v>
      </c>
      <c r="AO96" s="8">
        <f t="shared" si="59"/>
        <v>0.97363711933057628</v>
      </c>
      <c r="AP96" s="8">
        <f t="shared" si="60"/>
        <v>1.6650585376722499E-2</v>
      </c>
      <c r="AQ96" s="8">
        <f t="shared" si="61"/>
        <v>6.3682295690738319E-3</v>
      </c>
      <c r="AR96" s="8">
        <f t="shared" si="62"/>
        <v>4.6665351653239615E-4</v>
      </c>
      <c r="AS96" s="8">
        <f t="shared" si="63"/>
        <v>2.8235826268028678E-4</v>
      </c>
      <c r="AT96" s="8">
        <f t="shared" si="64"/>
        <v>0</v>
      </c>
    </row>
    <row r="97" spans="1:46" x14ac:dyDescent="0.25">
      <c r="A97">
        <f t="shared" si="65"/>
        <v>93</v>
      </c>
      <c r="B97" s="3">
        <v>42018</v>
      </c>
      <c r="C97" s="4">
        <v>5.5E-2</v>
      </c>
      <c r="D97">
        <v>2428</v>
      </c>
      <c r="E97" s="2">
        <v>50127089.780000001</v>
      </c>
      <c r="G97" s="5">
        <f t="shared" si="54"/>
        <v>0.55696766422222221</v>
      </c>
      <c r="H97" s="2">
        <f t="shared" si="55"/>
        <v>372589.05304170074</v>
      </c>
      <c r="I97" s="2">
        <v>316790.23</v>
      </c>
      <c r="J97" s="2"/>
      <c r="K97" s="2"/>
      <c r="L97" s="2"/>
      <c r="M97" s="2"/>
      <c r="N97" s="2"/>
      <c r="O97" s="2"/>
      <c r="P97" s="36">
        <v>18</v>
      </c>
      <c r="Q97" s="6">
        <f t="shared" si="56"/>
        <v>6.2568787756637143E-3</v>
      </c>
      <c r="R97" s="6">
        <f t="shared" si="112"/>
        <v>7.2551879570147193E-2</v>
      </c>
      <c r="S97" s="6">
        <f t="shared" si="113"/>
        <v>5.1489963581172971E-2</v>
      </c>
      <c r="T97" s="6">
        <f t="shared" si="114"/>
        <v>5.7380573821562336E-2</v>
      </c>
      <c r="U97" s="6">
        <f t="shared" si="115"/>
        <v>5.770486499556176E-2</v>
      </c>
      <c r="V97" s="2">
        <v>0</v>
      </c>
      <c r="W97" s="2">
        <v>49130761</v>
      </c>
      <c r="X97" s="2">
        <v>673510</v>
      </c>
      <c r="Y97" s="2">
        <v>177133</v>
      </c>
      <c r="Z97" s="2">
        <v>14298</v>
      </c>
      <c r="AA97" s="2">
        <v>0</v>
      </c>
      <c r="AB97" s="2">
        <v>13773</v>
      </c>
      <c r="AC97" s="2">
        <v>0</v>
      </c>
      <c r="AD97" s="2">
        <f t="shared" si="111"/>
        <v>1415891.39</v>
      </c>
      <c r="AE97" s="4">
        <f t="shared" si="101"/>
        <v>1.5732126555555555E-2</v>
      </c>
      <c r="AF97" s="2">
        <v>35921088.969999999</v>
      </c>
      <c r="AG97" s="5">
        <f t="shared" si="116"/>
        <v>0.47233516068376069</v>
      </c>
      <c r="AH97" s="2">
        <f t="shared" si="58"/>
        <v>34504083.487948716</v>
      </c>
      <c r="AI97" s="2">
        <f t="shared" si="109"/>
        <v>13950000</v>
      </c>
      <c r="AJ97" s="5">
        <f t="shared" si="117"/>
        <v>1</v>
      </c>
      <c r="AK97" s="4">
        <f t="shared" si="52"/>
        <v>0.71660032783973837</v>
      </c>
      <c r="AL97" s="9">
        <v>670000</v>
      </c>
      <c r="AM97" s="4">
        <f t="shared" si="53"/>
        <v>0.29676569845344014</v>
      </c>
      <c r="AO97" s="8">
        <f t="shared" si="59"/>
        <v>0.98012394526846192</v>
      </c>
      <c r="AP97" s="8">
        <f t="shared" si="60"/>
        <v>1.343604831152039E-2</v>
      </c>
      <c r="AQ97" s="8">
        <f t="shared" si="61"/>
        <v>3.5336781125217759E-3</v>
      </c>
      <c r="AR97" s="8">
        <f t="shared" si="62"/>
        <v>2.8523499095502446E-4</v>
      </c>
      <c r="AS97" s="8">
        <f t="shared" si="63"/>
        <v>0</v>
      </c>
      <c r="AT97" s="8">
        <f t="shared" si="64"/>
        <v>2.7476161214320548E-4</v>
      </c>
    </row>
    <row r="98" spans="1:46" x14ac:dyDescent="0.25">
      <c r="A98">
        <f t="shared" si="65"/>
        <v>94</v>
      </c>
      <c r="B98" s="3">
        <v>42049</v>
      </c>
      <c r="C98" s="4">
        <v>5.5E-2</v>
      </c>
      <c r="D98">
        <v>2420</v>
      </c>
      <c r="E98" s="2">
        <v>49774337.009999998</v>
      </c>
      <c r="G98" s="5">
        <f t="shared" si="54"/>
        <v>0.55304818899999997</v>
      </c>
      <c r="H98" s="2">
        <f t="shared" si="55"/>
        <v>165163.39301482702</v>
      </c>
      <c r="I98" s="2">
        <v>199394</v>
      </c>
      <c r="J98" s="2"/>
      <c r="K98" s="2"/>
      <c r="L98" s="2"/>
      <c r="M98" s="2"/>
      <c r="N98" s="2"/>
      <c r="O98" s="2"/>
      <c r="P98" s="36">
        <v>8</v>
      </c>
      <c r="Q98" s="6">
        <f t="shared" si="56"/>
        <v>3.9777693234358752E-3</v>
      </c>
      <c r="R98" s="6">
        <f t="shared" ref="R98" si="118">1-(+Q98-1)^12</f>
        <v>4.6702660466139911E-2</v>
      </c>
      <c r="S98" s="6">
        <f t="shared" ref="S98" si="119">AVERAGE(R96:R98)</f>
        <v>4.8320467317530223E-2</v>
      </c>
      <c r="T98" s="6">
        <f t="shared" ref="T98" si="120">AVERAGE(R87:R98)</f>
        <v>5.3913823072151951E-2</v>
      </c>
      <c r="U98" s="6">
        <f t="shared" ref="U98" si="121">AVERAGE(R81:R98)</f>
        <v>5.5035264299973762E-2</v>
      </c>
      <c r="V98" s="2">
        <v>0</v>
      </c>
      <c r="W98" s="2">
        <v>48685673</v>
      </c>
      <c r="X98" s="2">
        <v>797585</v>
      </c>
      <c r="Y98" s="2">
        <v>154623</v>
      </c>
      <c r="Z98" s="2">
        <v>19367</v>
      </c>
      <c r="AA98" s="2">
        <v>0</v>
      </c>
      <c r="AB98" s="2">
        <v>0</v>
      </c>
      <c r="AC98" s="2">
        <v>0</v>
      </c>
      <c r="AD98" s="2">
        <f t="shared" ref="AD98:AD101" si="122">+AD97+AC98</f>
        <v>1415891.39</v>
      </c>
      <c r="AE98" s="4">
        <f t="shared" ref="AE98:AE101" si="123">+AD98/$E$4</f>
        <v>1.5732126555555555E-2</v>
      </c>
      <c r="AF98" s="2">
        <v>35598350.170000002</v>
      </c>
      <c r="AG98" s="5">
        <f t="shared" ref="AG98:AG107" si="124">+AF98/$AF$4</f>
        <v>0.46809138948060491</v>
      </c>
      <c r="AH98" s="2">
        <f t="shared" si="58"/>
        <v>34194076.001558185</v>
      </c>
      <c r="AI98" s="2">
        <f t="shared" si="109"/>
        <v>13950000</v>
      </c>
      <c r="AJ98" s="5">
        <f t="shared" ref="AJ98:AJ136" si="125">+AI98/AI$4</f>
        <v>1</v>
      </c>
      <c r="AK98" s="4">
        <f t="shared" si="52"/>
        <v>0.7151948636271751</v>
      </c>
      <c r="AL98" s="9">
        <v>490000</v>
      </c>
      <c r="AM98" s="4">
        <f t="shared" si="53"/>
        <v>0.29464956684512944</v>
      </c>
      <c r="AO98" s="8">
        <f t="shared" si="59"/>
        <v>0.97812800580786685</v>
      </c>
      <c r="AP98" s="8">
        <f t="shared" si="60"/>
        <v>1.6024020567863312E-2</v>
      </c>
      <c r="AQ98" s="8">
        <f t="shared" si="61"/>
        <v>3.1064803528962166E-3</v>
      </c>
      <c r="AR98" s="8">
        <f t="shared" si="62"/>
        <v>3.8909609174922894E-4</v>
      </c>
      <c r="AS98" s="8">
        <f t="shared" si="63"/>
        <v>0</v>
      </c>
      <c r="AT98" s="8">
        <f t="shared" si="64"/>
        <v>0</v>
      </c>
    </row>
    <row r="99" spans="1:46" x14ac:dyDescent="0.25">
      <c r="A99">
        <f t="shared" si="65"/>
        <v>95</v>
      </c>
      <c r="B99" s="3">
        <v>42064</v>
      </c>
      <c r="C99" s="4">
        <v>5.5E-2</v>
      </c>
      <c r="D99">
        <v>2410</v>
      </c>
      <c r="E99" s="2">
        <v>49436249.240000002</v>
      </c>
      <c r="G99" s="5">
        <f t="shared" si="54"/>
        <v>0.54929165822222226</v>
      </c>
      <c r="H99" s="2">
        <f t="shared" si="55"/>
        <v>205679.07855371901</v>
      </c>
      <c r="I99" s="2">
        <v>191533.35</v>
      </c>
      <c r="J99" s="2"/>
      <c r="K99" s="2"/>
      <c r="L99" s="2"/>
      <c r="M99" s="2"/>
      <c r="N99" s="2"/>
      <c r="O99" s="2"/>
      <c r="P99" s="36">
        <v>10</v>
      </c>
      <c r="Q99" s="6">
        <f t="shared" si="56"/>
        <v>3.8480341779644333E-3</v>
      </c>
      <c r="R99" s="6">
        <f t="shared" ref="R99" si="126">1-(+Q99-1)^12</f>
        <v>4.5211551479715228E-2</v>
      </c>
      <c r="S99" s="6">
        <f t="shared" ref="S99" si="127">AVERAGE(R97:R99)</f>
        <v>5.4822030505334109E-2</v>
      </c>
      <c r="T99" s="6">
        <f t="shared" ref="T99" si="128">AVERAGE(R88:R99)</f>
        <v>5.0450524241617445E-2</v>
      </c>
      <c r="U99" s="6">
        <f t="shared" ref="U99" si="129">AVERAGE(R82:R99)</f>
        <v>5.4831734249559824E-2</v>
      </c>
      <c r="V99" s="2">
        <v>0</v>
      </c>
      <c r="W99" s="2">
        <v>47991114</v>
      </c>
      <c r="X99" s="2">
        <v>1117345</v>
      </c>
      <c r="Y99" s="2">
        <v>96665</v>
      </c>
      <c r="Z99" s="2">
        <v>94670</v>
      </c>
      <c r="AA99" s="2">
        <v>19367</v>
      </c>
      <c r="AB99" s="2">
        <v>0</v>
      </c>
      <c r="AC99" s="2">
        <v>0</v>
      </c>
      <c r="AD99" s="2">
        <f t="shared" si="122"/>
        <v>1415891.39</v>
      </c>
      <c r="AE99" s="4">
        <f t="shared" si="123"/>
        <v>1.5732126555555555E-2</v>
      </c>
      <c r="AF99" s="2">
        <v>35298560.030000001</v>
      </c>
      <c r="AG99" s="5">
        <f t="shared" si="124"/>
        <v>0.46414937580539123</v>
      </c>
      <c r="AH99" s="2">
        <f t="shared" si="58"/>
        <v>33906111.90258383</v>
      </c>
      <c r="AI99" s="2">
        <f t="shared" si="109"/>
        <v>13950000</v>
      </c>
      <c r="AJ99" s="5">
        <f t="shared" si="125"/>
        <v>1</v>
      </c>
      <c r="AK99" s="4">
        <f t="shared" si="52"/>
        <v>0.71402180733078613</v>
      </c>
      <c r="AL99" s="9">
        <v>490000</v>
      </c>
      <c r="AM99" s="4">
        <f t="shared" si="53"/>
        <v>0.29588994785964473</v>
      </c>
      <c r="AO99" s="8">
        <f t="shared" si="59"/>
        <v>0.97076770057970518</v>
      </c>
      <c r="AP99" s="8">
        <f t="shared" si="60"/>
        <v>2.2601734904595685E-2</v>
      </c>
      <c r="AQ99" s="8">
        <f t="shared" si="61"/>
        <v>1.9553465622101874E-3</v>
      </c>
      <c r="AR99" s="8">
        <f t="shared" si="62"/>
        <v>1.9149915589348622E-3</v>
      </c>
      <c r="AS99" s="8">
        <f t="shared" si="63"/>
        <v>3.9175706688382249E-4</v>
      </c>
      <c r="AT99" s="8">
        <f t="shared" si="64"/>
        <v>0</v>
      </c>
    </row>
    <row r="100" spans="1:46" x14ac:dyDescent="0.25">
      <c r="A100">
        <f t="shared" si="65"/>
        <v>96</v>
      </c>
      <c r="B100" s="3">
        <v>42095</v>
      </c>
      <c r="C100" s="4">
        <v>5.5E-2</v>
      </c>
      <c r="D100">
        <v>2402</v>
      </c>
      <c r="E100" s="2">
        <v>49061355.509999998</v>
      </c>
      <c r="G100" s="5">
        <f t="shared" si="54"/>
        <v>0.54512617233333327</v>
      </c>
      <c r="H100" s="2">
        <f t="shared" si="55"/>
        <v>164103.73191701245</v>
      </c>
      <c r="I100" s="2">
        <v>177340.89</v>
      </c>
      <c r="J100" s="2"/>
      <c r="K100" s="2"/>
      <c r="L100" s="2"/>
      <c r="M100" s="2"/>
      <c r="N100" s="2"/>
      <c r="O100" s="2"/>
      <c r="P100" s="36">
        <v>8</v>
      </c>
      <c r="Q100" s="6">
        <f t="shared" si="56"/>
        <v>3.5872642590471736E-3</v>
      </c>
      <c r="R100" s="6">
        <f t="shared" ref="R100" si="130">1-(+Q100-1)^12</f>
        <v>4.2207926693834552E-2</v>
      </c>
      <c r="S100" s="6">
        <f t="shared" ref="S100" si="131">AVERAGE(R98:R100)</f>
        <v>4.4707379546563231E-2</v>
      </c>
      <c r="T100" s="6">
        <f t="shared" ref="T100" si="132">AVERAGE(R89:R100)</f>
        <v>5.1035959524574702E-2</v>
      </c>
      <c r="U100" s="6">
        <f t="shared" ref="U100" si="133">AVERAGE(R83:R100)</f>
        <v>5.3872725048794617E-2</v>
      </c>
      <c r="V100" s="2">
        <v>0</v>
      </c>
      <c r="W100" s="2">
        <v>47697605</v>
      </c>
      <c r="X100" s="2">
        <v>939412</v>
      </c>
      <c r="Y100" s="2">
        <v>295570</v>
      </c>
      <c r="Z100" s="2">
        <v>11659</v>
      </c>
      <c r="AA100" s="2">
        <v>13773</v>
      </c>
      <c r="AB100" s="2">
        <v>0</v>
      </c>
      <c r="AC100" s="2">
        <v>0</v>
      </c>
      <c r="AD100" s="2">
        <f t="shared" si="122"/>
        <v>1415891.39</v>
      </c>
      <c r="AE100" s="4">
        <f t="shared" si="123"/>
        <v>1.5732126555555555E-2</v>
      </c>
      <c r="AF100" s="2">
        <v>34938191.75</v>
      </c>
      <c r="AG100" s="5">
        <f t="shared" si="124"/>
        <v>0.45941080539119</v>
      </c>
      <c r="AH100" s="2">
        <f t="shared" si="58"/>
        <v>33559959.33382643</v>
      </c>
      <c r="AI100" s="2">
        <f t="shared" si="109"/>
        <v>13950000</v>
      </c>
      <c r="AJ100" s="5">
        <f t="shared" si="125"/>
        <v>1</v>
      </c>
      <c r="AK100" s="4">
        <f t="shared" ref="AK100:AK131" si="134">+AF100/E100</f>
        <v>0.71213262224030227</v>
      </c>
      <c r="AL100" s="9">
        <v>490000</v>
      </c>
      <c r="AM100" s="4">
        <f t="shared" ref="AM100:AM131" si="135">1-(+AF100-AL100)/E100</f>
        <v>0.29785487188631488</v>
      </c>
      <c r="AO100" s="8">
        <f t="shared" si="59"/>
        <v>0.97220316283919161</v>
      </c>
      <c r="AP100" s="8">
        <f t="shared" si="60"/>
        <v>1.914769761729317E-2</v>
      </c>
      <c r="AQ100" s="8">
        <f t="shared" si="61"/>
        <v>6.0244972224576029E-3</v>
      </c>
      <c r="AR100" s="8">
        <f t="shared" si="62"/>
        <v>2.3764121229026354E-4</v>
      </c>
      <c r="AS100" s="8">
        <f t="shared" si="63"/>
        <v>2.807301155222403E-4</v>
      </c>
      <c r="AT100" s="8">
        <f t="shared" si="64"/>
        <v>0</v>
      </c>
    </row>
    <row r="101" spans="1:46" x14ac:dyDescent="0.25">
      <c r="A101">
        <f t="shared" si="65"/>
        <v>97</v>
      </c>
      <c r="B101" s="3">
        <v>42125</v>
      </c>
      <c r="C101" s="4">
        <v>5.5E-2</v>
      </c>
      <c r="D101">
        <v>2390</v>
      </c>
      <c r="E101" s="2">
        <v>48627871.079999998</v>
      </c>
      <c r="G101" s="5">
        <f t="shared" ref="G101:G132" si="136">+E101/$E$4</f>
        <v>0.54030967866666668</v>
      </c>
      <c r="H101" s="2">
        <f t="shared" ref="H101:H132" si="137">+E100/D100*P101</f>
        <v>245102.52544546212</v>
      </c>
      <c r="I101" s="2">
        <v>258411.54</v>
      </c>
      <c r="J101" s="2"/>
      <c r="K101" s="2"/>
      <c r="L101" s="2"/>
      <c r="M101" s="2"/>
      <c r="N101" s="2"/>
      <c r="O101" s="2"/>
      <c r="P101" s="36">
        <v>12</v>
      </c>
      <c r="Q101" s="6">
        <f t="shared" ref="Q101:Q132" si="138">IF(I101&gt;0,I101,+H101)/E100</f>
        <v>5.2671096693879347E-3</v>
      </c>
      <c r="R101" s="6">
        <f t="shared" ref="R101" si="139">1-(+Q101-1)^12</f>
        <v>6.1406083877673878E-2</v>
      </c>
      <c r="S101" s="6">
        <f t="shared" ref="S101" si="140">AVERAGE(R99:R101)</f>
        <v>4.960852068374122E-2</v>
      </c>
      <c r="T101" s="6">
        <f t="shared" ref="T101" si="141">AVERAGE(R90:R101)</f>
        <v>5.233585590633294E-2</v>
      </c>
      <c r="U101" s="6">
        <f t="shared" ref="U101" si="142">AVERAGE(R84:R101)</f>
        <v>5.5513325748135917E-2</v>
      </c>
      <c r="V101" s="2">
        <v>0</v>
      </c>
      <c r="W101" s="2">
        <v>47308425</v>
      </c>
      <c r="X101" s="2">
        <v>896540</v>
      </c>
      <c r="Y101" s="2">
        <v>202853</v>
      </c>
      <c r="Z101" s="2">
        <v>91306</v>
      </c>
      <c r="AA101" s="2">
        <v>11659</v>
      </c>
      <c r="AB101" s="2">
        <v>0</v>
      </c>
      <c r="AC101" s="2">
        <v>0</v>
      </c>
      <c r="AD101" s="2">
        <f t="shared" si="122"/>
        <v>1415891.39</v>
      </c>
      <c r="AE101" s="4">
        <f t="shared" si="123"/>
        <v>1.5732126555555555E-2</v>
      </c>
      <c r="AF101" s="2">
        <v>34553838.939999998</v>
      </c>
      <c r="AG101" s="5">
        <f t="shared" si="124"/>
        <v>0.45435685654174884</v>
      </c>
      <c r="AH101" s="2">
        <f t="shared" si="58"/>
        <v>33190768.37037475</v>
      </c>
      <c r="AI101" s="2">
        <f t="shared" si="109"/>
        <v>13950000</v>
      </c>
      <c r="AJ101" s="5">
        <f t="shared" si="125"/>
        <v>1</v>
      </c>
      <c r="AK101" s="4">
        <f t="shared" si="134"/>
        <v>0.71057683942514882</v>
      </c>
      <c r="AL101" s="9">
        <v>490000</v>
      </c>
      <c r="AM101" s="4">
        <f t="shared" si="135"/>
        <v>0.29949968642550739</v>
      </c>
      <c r="AO101" s="8">
        <f t="shared" ref="AO101:AO136" si="143">+W101/$E101</f>
        <v>0.97286646421700607</v>
      </c>
      <c r="AP101" s="8">
        <f t="shared" ref="AP101:AP136" si="144">+X101/$E101</f>
        <v>1.8436752012545642E-2</v>
      </c>
      <c r="AQ101" s="8">
        <f t="shared" ref="AQ101:AQ136" si="145">+Y101/$E101</f>
        <v>4.1715377518023976E-3</v>
      </c>
      <c r="AR101" s="8">
        <f t="shared" ref="AR101:AR136" si="146">+Z101/$E101</f>
        <v>1.8776474884082052E-3</v>
      </c>
      <c r="AS101" s="8">
        <f t="shared" ref="AS101:AS136" si="147">+AA101/$E101</f>
        <v>2.3975962223020685E-4</v>
      </c>
      <c r="AT101" s="8">
        <f t="shared" ref="AT101:AT136" si="148">+AB101/$E101</f>
        <v>0</v>
      </c>
    </row>
    <row r="102" spans="1:46" x14ac:dyDescent="0.25">
      <c r="A102">
        <f t="shared" si="65"/>
        <v>98</v>
      </c>
      <c r="B102" s="3">
        <v>42156</v>
      </c>
      <c r="C102" s="4">
        <v>5.5E-2</v>
      </c>
      <c r="D102">
        <v>2372</v>
      </c>
      <c r="E102" s="2">
        <v>48036853.640000001</v>
      </c>
      <c r="G102" s="5">
        <f t="shared" si="136"/>
        <v>0.53374281822222225</v>
      </c>
      <c r="H102" s="2">
        <f t="shared" si="137"/>
        <v>366235.01231799164</v>
      </c>
      <c r="I102" s="2">
        <v>407546.27</v>
      </c>
      <c r="J102" s="2"/>
      <c r="K102" s="2"/>
      <c r="L102" s="2"/>
      <c r="M102" s="2"/>
      <c r="N102" s="2"/>
      <c r="O102" s="2"/>
      <c r="P102" s="36">
        <v>18</v>
      </c>
      <c r="Q102" s="6">
        <f t="shared" si="138"/>
        <v>8.3809194387623204E-3</v>
      </c>
      <c r="R102" s="6">
        <f t="shared" ref="R102" si="149">1-(+Q102-1)^12</f>
        <v>9.6062304368378704E-2</v>
      </c>
      <c r="S102" s="6">
        <f t="shared" ref="S102" si="150">AVERAGE(R100:R102)</f>
        <v>6.6558771646629045E-2</v>
      </c>
      <c r="T102" s="6">
        <f t="shared" ref="T102" si="151">AVERAGE(R91:R102)</f>
        <v>5.6536881903997326E-2</v>
      </c>
      <c r="U102" s="6">
        <f t="shared" ref="U102" si="152">AVERAGE(R85:R102)</f>
        <v>5.6226917614411925E-2</v>
      </c>
      <c r="V102" s="2">
        <v>0</v>
      </c>
      <c r="W102" s="2">
        <v>46896466</v>
      </c>
      <c r="X102" s="2">
        <v>776184</v>
      </c>
      <c r="Y102" s="2">
        <v>186132</v>
      </c>
      <c r="Z102" s="2">
        <v>31264</v>
      </c>
      <c r="AA102" s="2">
        <v>70157</v>
      </c>
      <c r="AB102" s="2">
        <v>0</v>
      </c>
      <c r="AC102" s="2">
        <v>0</v>
      </c>
      <c r="AD102" s="2">
        <f t="shared" ref="AD102:AD107" si="153">+AD101+AC102</f>
        <v>1415891.39</v>
      </c>
      <c r="AE102" s="4">
        <f t="shared" ref="AE102:AE107" si="154">+AD102/$E$4</f>
        <v>1.5732126555555555E-2</v>
      </c>
      <c r="AF102" s="2">
        <v>33987145.359999999</v>
      </c>
      <c r="AG102" s="5">
        <f t="shared" si="124"/>
        <v>0.44690526443129519</v>
      </c>
      <c r="AH102" s="2">
        <f t="shared" si="58"/>
        <v>32646429.566706114</v>
      </c>
      <c r="AI102" s="2">
        <f t="shared" si="109"/>
        <v>13950000</v>
      </c>
      <c r="AJ102" s="5">
        <f t="shared" si="125"/>
        <v>1</v>
      </c>
      <c r="AK102" s="4">
        <f t="shared" si="134"/>
        <v>0.70752230391082704</v>
      </c>
      <c r="AL102" s="9">
        <v>490000</v>
      </c>
      <c r="AM102" s="4">
        <f t="shared" si="135"/>
        <v>0.30267819763892434</v>
      </c>
      <c r="AO102" s="8">
        <f t="shared" si="143"/>
        <v>0.97626015124665855</v>
      </c>
      <c r="AP102" s="8">
        <f t="shared" si="144"/>
        <v>1.6158094071208617E-2</v>
      </c>
      <c r="AQ102" s="8">
        <f t="shared" si="145"/>
        <v>3.8747750090986181E-3</v>
      </c>
      <c r="AR102" s="8">
        <f t="shared" si="146"/>
        <v>6.5083363357434085E-4</v>
      </c>
      <c r="AS102" s="8">
        <f t="shared" si="147"/>
        <v>1.46048283107328E-3</v>
      </c>
      <c r="AT102" s="8">
        <f t="shared" si="148"/>
        <v>0</v>
      </c>
    </row>
    <row r="103" spans="1:46" x14ac:dyDescent="0.25">
      <c r="A103">
        <f t="shared" si="65"/>
        <v>99</v>
      </c>
      <c r="B103" s="3">
        <f>+B102+31</f>
        <v>42187</v>
      </c>
      <c r="C103" s="4">
        <v>5.5E-2</v>
      </c>
      <c r="D103">
        <v>2360</v>
      </c>
      <c r="E103" s="2">
        <v>47666586.530000001</v>
      </c>
      <c r="G103" s="5">
        <f t="shared" si="136"/>
        <v>0.5296287392222222</v>
      </c>
      <c r="H103" s="2">
        <f t="shared" si="137"/>
        <v>243019.49564924114</v>
      </c>
      <c r="I103" s="2">
        <v>193614.58</v>
      </c>
      <c r="J103" s="2"/>
      <c r="K103" s="2"/>
      <c r="L103" s="2"/>
      <c r="M103" s="2"/>
      <c r="N103" s="2"/>
      <c r="O103" s="2"/>
      <c r="P103" s="36">
        <v>12</v>
      </c>
      <c r="Q103" s="6">
        <f t="shared" si="138"/>
        <v>4.0305424966213498E-3</v>
      </c>
      <c r="R103" s="6">
        <f t="shared" ref="R103:R107" si="155">1-(+Q103-1)^12</f>
        <v>4.7308597154870347E-2</v>
      </c>
      <c r="S103" s="6">
        <f t="shared" ref="S103:S107" si="156">AVERAGE(R101:R103)</f>
        <v>6.8258995133640976E-2</v>
      </c>
      <c r="T103" s="6">
        <f t="shared" ref="T103:T107" si="157">AVERAGE(R92:R103)</f>
        <v>5.5801136267284009E-2</v>
      </c>
      <c r="U103" s="6">
        <f t="shared" ref="U103:U107" si="158">AVERAGE(R86:R103)</f>
        <v>5.7081444994408925E-2</v>
      </c>
      <c r="V103" s="2">
        <v>0</v>
      </c>
      <c r="W103" s="2">
        <v>46801463</v>
      </c>
      <c r="X103" s="2">
        <v>485739</v>
      </c>
      <c r="Y103" s="2">
        <v>181646</v>
      </c>
      <c r="Z103" s="2">
        <v>49562</v>
      </c>
      <c r="AA103" s="2">
        <v>14698</v>
      </c>
      <c r="AB103" s="2">
        <v>56819</v>
      </c>
      <c r="AC103" s="2">
        <v>0</v>
      </c>
      <c r="AD103" s="2">
        <f t="shared" si="153"/>
        <v>1415891.39</v>
      </c>
      <c r="AE103" s="4">
        <f t="shared" si="154"/>
        <v>1.5732126555555555E-2</v>
      </c>
      <c r="AF103" s="2">
        <v>33759010.909999996</v>
      </c>
      <c r="AG103" s="5">
        <f t="shared" si="124"/>
        <v>0.44390546890203808</v>
      </c>
      <c r="AH103" s="2">
        <f t="shared" si="58"/>
        <v>32427294.503293883</v>
      </c>
      <c r="AI103" s="2">
        <f t="shared" si="109"/>
        <v>13950000</v>
      </c>
      <c r="AJ103" s="5">
        <f t="shared" si="125"/>
        <v>1</v>
      </c>
      <c r="AK103" s="4">
        <f t="shared" si="134"/>
        <v>0.70823218878391958</v>
      </c>
      <c r="AL103" s="9">
        <v>398528.14</v>
      </c>
      <c r="AM103" s="4">
        <f t="shared" si="135"/>
        <v>0.30012855548186046</v>
      </c>
      <c r="AO103" s="8">
        <f t="shared" si="143"/>
        <v>0.98185052480199064</v>
      </c>
      <c r="AP103" s="8">
        <f t="shared" si="144"/>
        <v>1.0190345803224017E-2</v>
      </c>
      <c r="AQ103" s="8">
        <f t="shared" si="145"/>
        <v>3.8107616513650949E-3</v>
      </c>
      <c r="AR103" s="8">
        <f t="shared" si="146"/>
        <v>1.0397639858018169E-3</v>
      </c>
      <c r="AS103" s="8">
        <f t="shared" si="147"/>
        <v>3.0835016874450398E-4</v>
      </c>
      <c r="AT103" s="8">
        <f t="shared" si="148"/>
        <v>1.1920089969991816E-3</v>
      </c>
    </row>
    <row r="104" spans="1:46" x14ac:dyDescent="0.25">
      <c r="A104">
        <f t="shared" si="65"/>
        <v>100</v>
      </c>
      <c r="B104" s="3">
        <f>+B103+31</f>
        <v>42218</v>
      </c>
      <c r="C104" s="4">
        <v>5.5E-2</v>
      </c>
      <c r="D104">
        <v>2343</v>
      </c>
      <c r="E104" s="2">
        <v>47130822.619999997</v>
      </c>
      <c r="G104" s="5">
        <f t="shared" si="136"/>
        <v>0.52367580688888882</v>
      </c>
      <c r="H104" s="2">
        <f t="shared" si="137"/>
        <v>343361.00466525427</v>
      </c>
      <c r="I104" s="2">
        <v>371281.13</v>
      </c>
      <c r="J104" s="2"/>
      <c r="K104" s="2"/>
      <c r="L104" s="2"/>
      <c r="M104" s="2"/>
      <c r="N104" s="2"/>
      <c r="O104" s="2"/>
      <c r="P104" s="36">
        <v>17</v>
      </c>
      <c r="Q104" s="6">
        <f t="shared" si="138"/>
        <v>7.7891277103789708E-3</v>
      </c>
      <c r="R104" s="6">
        <f t="shared" si="155"/>
        <v>8.9567444761931903E-2</v>
      </c>
      <c r="S104" s="6">
        <f t="shared" si="156"/>
        <v>7.7646115428393656E-2</v>
      </c>
      <c r="T104" s="6">
        <f t="shared" si="157"/>
        <v>5.88997179246648E-2</v>
      </c>
      <c r="U104" s="6">
        <f t="shared" si="158"/>
        <v>5.7151654733457104E-2</v>
      </c>
      <c r="V104" s="2">
        <v>0</v>
      </c>
      <c r="W104" s="2">
        <v>46029755</v>
      </c>
      <c r="X104" s="2">
        <v>902339</v>
      </c>
      <c r="Y104" s="2">
        <v>20924</v>
      </c>
      <c r="Z104" s="2">
        <v>47737</v>
      </c>
      <c r="AA104" s="2">
        <v>0</v>
      </c>
      <c r="AB104" s="2">
        <v>14698</v>
      </c>
      <c r="AC104" s="2">
        <v>65358.84</v>
      </c>
      <c r="AD104" s="2">
        <f t="shared" si="153"/>
        <v>1481250.23</v>
      </c>
      <c r="AE104" s="4">
        <f t="shared" si="154"/>
        <v>1.6458335888888887E-2</v>
      </c>
      <c r="AF104" s="2">
        <v>33166505.09</v>
      </c>
      <c r="AG104" s="5">
        <f t="shared" si="124"/>
        <v>0.43611446535174225</v>
      </c>
      <c r="AH104" s="2">
        <f t="shared" si="58"/>
        <v>31858161.693944775</v>
      </c>
      <c r="AI104" s="2">
        <f t="shared" si="109"/>
        <v>13950000</v>
      </c>
      <c r="AJ104" s="5">
        <f t="shared" si="125"/>
        <v>1</v>
      </c>
      <c r="AK104" s="4">
        <f t="shared" si="134"/>
        <v>0.70371156806259028</v>
      </c>
      <c r="AL104" s="9">
        <v>405509.13</v>
      </c>
      <c r="AM104" s="4">
        <f t="shared" si="135"/>
        <v>0.30489233714121833</v>
      </c>
      <c r="AO104" s="8">
        <f t="shared" si="143"/>
        <v>0.97663805639724266</v>
      </c>
      <c r="AP104" s="8">
        <f t="shared" si="144"/>
        <v>1.9145411640175612E-2</v>
      </c>
      <c r="AQ104" s="8">
        <f t="shared" si="145"/>
        <v>4.4395575627234835E-4</v>
      </c>
      <c r="AR104" s="8">
        <f t="shared" si="146"/>
        <v>1.012861591338802E-3</v>
      </c>
      <c r="AS104" s="8">
        <f t="shared" si="147"/>
        <v>0</v>
      </c>
      <c r="AT104" s="8">
        <f t="shared" si="148"/>
        <v>3.1185536731461361E-4</v>
      </c>
    </row>
    <row r="105" spans="1:46" x14ac:dyDescent="0.25">
      <c r="A105">
        <f t="shared" si="65"/>
        <v>101</v>
      </c>
      <c r="B105" s="3">
        <f>+B104+31</f>
        <v>42249</v>
      </c>
      <c r="C105" s="4">
        <v>5.5E-2</v>
      </c>
      <c r="D105">
        <v>2325</v>
      </c>
      <c r="E105" s="2">
        <v>46631678.689999998</v>
      </c>
      <c r="G105" s="5">
        <f t="shared" si="136"/>
        <v>0.51812976322222215</v>
      </c>
      <c r="H105" s="2">
        <f t="shared" si="137"/>
        <v>362080.58350832266</v>
      </c>
      <c r="I105" s="2">
        <v>354031.71</v>
      </c>
      <c r="J105" s="2"/>
      <c r="K105" s="2"/>
      <c r="L105" s="2"/>
      <c r="M105" s="2"/>
      <c r="N105" s="2"/>
      <c r="O105" s="2"/>
      <c r="P105" s="36">
        <v>18</v>
      </c>
      <c r="Q105" s="6">
        <f t="shared" si="138"/>
        <v>7.5116811105640753E-3</v>
      </c>
      <c r="R105" s="6">
        <f t="shared" si="155"/>
        <v>8.6507789644003186E-2</v>
      </c>
      <c r="S105" s="6">
        <f t="shared" si="156"/>
        <v>7.446127718693514E-2</v>
      </c>
      <c r="T105" s="6">
        <f t="shared" si="157"/>
        <v>5.8309493147983872E-2</v>
      </c>
      <c r="U105" s="6">
        <f t="shared" si="158"/>
        <v>5.7137024300005654E-2</v>
      </c>
      <c r="V105" s="2">
        <v>480804</v>
      </c>
      <c r="W105" s="2">
        <v>45545038</v>
      </c>
      <c r="X105" s="2">
        <v>803779</v>
      </c>
      <c r="Y105" s="2">
        <v>105057</v>
      </c>
      <c r="Z105" s="2">
        <v>0</v>
      </c>
      <c r="AA105" s="2">
        <v>47737</v>
      </c>
      <c r="AB105" s="2">
        <v>0</v>
      </c>
      <c r="AC105" s="2">
        <v>14697.71</v>
      </c>
      <c r="AD105" s="2">
        <f t="shared" si="153"/>
        <v>1495947.94</v>
      </c>
      <c r="AE105" s="4">
        <f t="shared" si="154"/>
        <v>1.6621643777777778E-2</v>
      </c>
      <c r="AF105" s="2">
        <v>32298133.059999999</v>
      </c>
      <c r="AG105" s="5">
        <f t="shared" si="124"/>
        <v>0.42469602971729126</v>
      </c>
      <c r="AH105" s="2">
        <f t="shared" si="58"/>
        <v>31024044.970848124</v>
      </c>
      <c r="AI105" s="2">
        <f t="shared" si="109"/>
        <v>13950000</v>
      </c>
      <c r="AJ105" s="5">
        <f t="shared" si="125"/>
        <v>1</v>
      </c>
      <c r="AK105" s="4">
        <f t="shared" si="134"/>
        <v>0.69262213944114825</v>
      </c>
      <c r="AL105" s="9">
        <v>443065.92</v>
      </c>
      <c r="AM105" s="4">
        <f t="shared" si="135"/>
        <v>0.31687925387015492</v>
      </c>
      <c r="AO105" s="8">
        <f t="shared" si="143"/>
        <v>0.97669737138944079</v>
      </c>
      <c r="AP105" s="8">
        <f t="shared" si="144"/>
        <v>1.7236758842489788E-2</v>
      </c>
      <c r="AQ105" s="8">
        <f t="shared" si="145"/>
        <v>2.2529105310233901E-3</v>
      </c>
      <c r="AR105" s="8">
        <f t="shared" si="146"/>
        <v>0</v>
      </c>
      <c r="AS105" s="8">
        <f t="shared" si="147"/>
        <v>1.0237032279568575E-3</v>
      </c>
      <c r="AT105" s="8">
        <f t="shared" si="148"/>
        <v>0</v>
      </c>
    </row>
    <row r="106" spans="1:46" x14ac:dyDescent="0.25">
      <c r="A106">
        <f t="shared" si="65"/>
        <v>102</v>
      </c>
      <c r="B106" s="3">
        <f>+B105+31</f>
        <v>42280</v>
      </c>
      <c r="C106" s="4">
        <v>5.5E-2</v>
      </c>
      <c r="D106">
        <v>2313</v>
      </c>
      <c r="E106" s="2">
        <v>46249077.380000003</v>
      </c>
      <c r="G106" s="5">
        <f t="shared" si="136"/>
        <v>0.51387863755555563</v>
      </c>
      <c r="H106" s="2">
        <f t="shared" si="137"/>
        <v>240679.6319483871</v>
      </c>
      <c r="I106" s="2">
        <v>243088.34</v>
      </c>
      <c r="J106" s="2"/>
      <c r="K106" s="2"/>
      <c r="L106" s="2"/>
      <c r="M106" s="2"/>
      <c r="N106" s="2"/>
      <c r="O106" s="2"/>
      <c r="P106" s="36">
        <v>12</v>
      </c>
      <c r="Q106" s="6">
        <f t="shared" si="138"/>
        <v>5.2129442222316877E-3</v>
      </c>
      <c r="R106" s="6">
        <f t="shared" si="155"/>
        <v>6.0792597525667014E-2</v>
      </c>
      <c r="S106" s="6">
        <f t="shared" si="156"/>
        <v>7.8955943977200696E-2</v>
      </c>
      <c r="T106" s="6">
        <f t="shared" si="157"/>
        <v>6.0853070559644472E-2</v>
      </c>
      <c r="U106" s="6">
        <f t="shared" si="158"/>
        <v>5.8559796201523406E-2</v>
      </c>
      <c r="V106" s="2">
        <v>0</v>
      </c>
      <c r="W106" s="2">
        <v>44988874</v>
      </c>
      <c r="X106" s="2">
        <v>760062</v>
      </c>
      <c r="Y106" s="2">
        <v>275811</v>
      </c>
      <c r="Z106" s="2">
        <v>46525</v>
      </c>
      <c r="AA106" s="2">
        <v>0</v>
      </c>
      <c r="AB106" s="2">
        <v>47737</v>
      </c>
      <c r="AC106" s="2">
        <v>0</v>
      </c>
      <c r="AD106" s="2">
        <f t="shared" si="153"/>
        <v>1495947.94</v>
      </c>
      <c r="AE106" s="4">
        <f t="shared" si="154"/>
        <v>1.6621643777777778E-2</v>
      </c>
      <c r="AF106" s="2">
        <v>31945071.23</v>
      </c>
      <c r="AG106" s="5">
        <f t="shared" si="124"/>
        <v>0.4200535335963182</v>
      </c>
      <c r="AH106" s="2">
        <f t="shared" si="58"/>
        <v>30684910.629211046</v>
      </c>
      <c r="AI106" s="2">
        <f t="shared" si="109"/>
        <v>13950000</v>
      </c>
      <c r="AJ106" s="5">
        <f t="shared" si="125"/>
        <v>1</v>
      </c>
      <c r="AK106" s="4">
        <f t="shared" si="134"/>
        <v>0.69071802162726725</v>
      </c>
      <c r="AL106" s="9">
        <v>382527.27</v>
      </c>
      <c r="AM106" s="4">
        <f t="shared" si="135"/>
        <v>0.31755300325949987</v>
      </c>
      <c r="AO106" s="8">
        <f t="shared" si="143"/>
        <v>0.97275181578984393</v>
      </c>
      <c r="AP106" s="8">
        <f t="shared" si="144"/>
        <v>1.6434100809299215E-2</v>
      </c>
      <c r="AQ106" s="8">
        <f t="shared" si="145"/>
        <v>5.9636000461983701E-3</v>
      </c>
      <c r="AR106" s="8">
        <f t="shared" si="146"/>
        <v>1.0059660134997487E-3</v>
      </c>
      <c r="AS106" s="8">
        <f t="shared" si="147"/>
        <v>0</v>
      </c>
      <c r="AT106" s="8">
        <f t="shared" si="148"/>
        <v>1.0321719416751746E-3</v>
      </c>
    </row>
    <row r="107" spans="1:46" x14ac:dyDescent="0.25">
      <c r="A107">
        <f t="shared" si="65"/>
        <v>103</v>
      </c>
      <c r="B107" s="3">
        <f>+B106+31</f>
        <v>42311</v>
      </c>
      <c r="C107" s="4">
        <v>5.5E-2</v>
      </c>
      <c r="D107">
        <v>2298</v>
      </c>
      <c r="E107" s="2">
        <v>45768972.130000003</v>
      </c>
      <c r="G107" s="5">
        <f t="shared" si="136"/>
        <v>0.50854413477777782</v>
      </c>
      <c r="H107" s="2">
        <f t="shared" si="137"/>
        <v>299929.16588845657</v>
      </c>
      <c r="I107" s="2">
        <v>300948.62</v>
      </c>
      <c r="J107" s="2"/>
      <c r="K107" s="2"/>
      <c r="L107" s="2"/>
      <c r="M107" s="2"/>
      <c r="N107" s="2"/>
      <c r="O107" s="2"/>
      <c r="P107" s="36">
        <v>15</v>
      </c>
      <c r="Q107" s="6">
        <f t="shared" si="138"/>
        <v>6.5071269968758885E-3</v>
      </c>
      <c r="R107" s="6">
        <f t="shared" si="155"/>
        <v>7.5350643783635651E-2</v>
      </c>
      <c r="S107" s="6">
        <f t="shared" si="156"/>
        <v>7.4217010317768617E-2</v>
      </c>
      <c r="T107" s="6">
        <f t="shared" si="157"/>
        <v>6.2448028436858427E-2</v>
      </c>
      <c r="U107" s="6">
        <f t="shared" si="158"/>
        <v>6.0201091561915679E-2</v>
      </c>
      <c r="W107" s="2">
        <v>44576773</v>
      </c>
      <c r="X107" s="2">
        <v>774270</v>
      </c>
      <c r="Y107" s="2">
        <v>147030</v>
      </c>
      <c r="Z107" s="2">
        <v>46568</v>
      </c>
      <c r="AA107" s="2">
        <v>46525</v>
      </c>
      <c r="AB107" s="2">
        <v>0</v>
      </c>
      <c r="AC107" s="2">
        <v>16566.02</v>
      </c>
      <c r="AD107" s="2">
        <f t="shared" si="153"/>
        <v>1512513.96</v>
      </c>
      <c r="AE107" s="4">
        <f t="shared" si="154"/>
        <v>1.6805710666666668E-2</v>
      </c>
      <c r="AF107" s="2">
        <v>31477546.710000001</v>
      </c>
      <c r="AG107" s="5">
        <f t="shared" si="124"/>
        <v>0.41390593964497041</v>
      </c>
      <c r="AH107" s="2">
        <f t="shared" si="58"/>
        <v>30235828.891065091</v>
      </c>
      <c r="AI107" s="2">
        <f t="shared" si="109"/>
        <v>13950000</v>
      </c>
      <c r="AJ107" s="5">
        <f t="shared" si="125"/>
        <v>1</v>
      </c>
      <c r="AK107" s="4">
        <f t="shared" si="134"/>
        <v>0.68774860446052144</v>
      </c>
      <c r="AL107" s="9">
        <v>411047.57</v>
      </c>
      <c r="AM107" s="4">
        <f t="shared" si="135"/>
        <v>0.32123231756745163</v>
      </c>
      <c r="AO107" s="8">
        <f t="shared" si="143"/>
        <v>0.97395180458469255</v>
      </c>
      <c r="AP107" s="8">
        <f t="shared" si="144"/>
        <v>1.6916919125926633E-2</v>
      </c>
      <c r="AQ107" s="8">
        <f t="shared" si="145"/>
        <v>3.2124383213672138E-3</v>
      </c>
      <c r="AR107" s="8">
        <f t="shared" si="146"/>
        <v>1.0174578504347984E-3</v>
      </c>
      <c r="AS107" s="8">
        <f t="shared" si="147"/>
        <v>1.0165183493274137E-3</v>
      </c>
      <c r="AT107" s="8">
        <f t="shared" si="148"/>
        <v>0</v>
      </c>
    </row>
    <row r="108" spans="1:46" x14ac:dyDescent="0.25">
      <c r="A108">
        <f t="shared" si="65"/>
        <v>104</v>
      </c>
      <c r="B108" s="3">
        <v>42339</v>
      </c>
      <c r="C108" s="4">
        <v>5.5E-2</v>
      </c>
      <c r="D108">
        <v>2282</v>
      </c>
      <c r="E108" s="2">
        <v>45324737.810000002</v>
      </c>
      <c r="G108" s="5">
        <f t="shared" si="136"/>
        <v>0.50360819788888889</v>
      </c>
      <c r="H108" s="2">
        <f t="shared" si="137"/>
        <v>318669.95390774589</v>
      </c>
      <c r="I108">
        <v>305776.24</v>
      </c>
      <c r="P108" s="36">
        <v>16</v>
      </c>
      <c r="Q108" s="6">
        <f t="shared" si="138"/>
        <v>6.6808631649294585E-3</v>
      </c>
      <c r="R108" s="6">
        <f t="shared" ref="R108" si="159">1-(+Q108-1)^12</f>
        <v>7.7289145255307834E-2</v>
      </c>
      <c r="S108" s="6">
        <f t="shared" ref="S108" si="160">AVERAGE(R106:R108)</f>
        <v>7.1144128854870162E-2</v>
      </c>
      <c r="T108" s="6">
        <f t="shared" ref="T108" si="161">AVERAGE(R97:R108)</f>
        <v>6.6746552048442112E-2</v>
      </c>
      <c r="U108" s="6">
        <f t="shared" ref="U108" si="162">AVERAGE(R91:R108)</f>
        <v>6.1958822276299105E-2</v>
      </c>
      <c r="V108" s="2">
        <v>0</v>
      </c>
      <c r="W108" s="2">
        <v>43690808</v>
      </c>
      <c r="X108" s="2">
        <v>1190944</v>
      </c>
      <c r="Y108" s="2">
        <v>190432</v>
      </c>
      <c r="Z108" s="2">
        <v>26260</v>
      </c>
      <c r="AA108" s="2">
        <v>23099</v>
      </c>
      <c r="AB108" s="2">
        <v>25390</v>
      </c>
      <c r="AC108" s="2">
        <v>0</v>
      </c>
      <c r="AD108" s="2">
        <v>1512514.06</v>
      </c>
      <c r="AE108" s="4">
        <f t="shared" ref="AE108:AE136" si="163">+AD108/$E$4</f>
        <v>1.6805711777777777E-2</v>
      </c>
      <c r="AF108" s="2">
        <v>31037314.440000001</v>
      </c>
      <c r="AG108" s="5">
        <f t="shared" ref="AG108:AG136" si="164">+AF108/$AF$4</f>
        <v>0.40811721814595664</v>
      </c>
      <c r="AH108" s="2">
        <f t="shared" si="58"/>
        <v>29812962.785562132</v>
      </c>
      <c r="AI108" s="2">
        <f t="shared" si="109"/>
        <v>13950000</v>
      </c>
      <c r="AJ108" s="5">
        <f t="shared" si="125"/>
        <v>1</v>
      </c>
      <c r="AK108" s="4">
        <f t="shared" si="134"/>
        <v>0.68477648056360596</v>
      </c>
      <c r="AL108" s="9">
        <v>393849.45</v>
      </c>
      <c r="AM108" s="4">
        <f t="shared" si="135"/>
        <v>0.32391302254286558</v>
      </c>
      <c r="AO108" s="8">
        <f t="shared" si="143"/>
        <v>0.96395059543754258</v>
      </c>
      <c r="AP108" s="8">
        <f t="shared" si="144"/>
        <v>2.6275805609563656E-2</v>
      </c>
      <c r="AQ108" s="8">
        <f t="shared" si="145"/>
        <v>4.2015025171968003E-3</v>
      </c>
      <c r="AR108" s="8">
        <f t="shared" si="146"/>
        <v>5.7937455943112492E-4</v>
      </c>
      <c r="AS108" s="8">
        <f t="shared" si="147"/>
        <v>5.0963339483242782E-4</v>
      </c>
      <c r="AT108" s="8">
        <f t="shared" si="148"/>
        <v>5.6017974348652935E-4</v>
      </c>
    </row>
    <row r="109" spans="1:46" x14ac:dyDescent="0.25">
      <c r="A109">
        <f t="shared" si="65"/>
        <v>105</v>
      </c>
      <c r="B109" s="3">
        <v>42370</v>
      </c>
      <c r="C109" s="4">
        <v>5.5E-2</v>
      </c>
      <c r="D109">
        <v>2268</v>
      </c>
      <c r="E109" s="2">
        <v>44878339.590000004</v>
      </c>
      <c r="G109" s="5">
        <f t="shared" si="136"/>
        <v>0.49864821766666673</v>
      </c>
      <c r="H109" s="2">
        <f t="shared" si="137"/>
        <v>278065.87613496935</v>
      </c>
      <c r="I109" s="2">
        <v>248294.12</v>
      </c>
      <c r="J109" s="2"/>
      <c r="K109" s="2"/>
      <c r="L109" s="2"/>
      <c r="M109" s="2"/>
      <c r="N109" s="2"/>
      <c r="O109" s="2"/>
      <c r="P109" s="36">
        <v>14</v>
      </c>
      <c r="Q109" s="6">
        <f t="shared" si="138"/>
        <v>5.4781148661210534E-3</v>
      </c>
      <c r="R109" s="6">
        <f t="shared" ref="R109:R134" si="165">1-(+Q109-1)^12</f>
        <v>6.3792460782048699E-2</v>
      </c>
      <c r="S109" s="6">
        <f t="shared" ref="S109:S134" si="166">AVERAGE(R107:R109)</f>
        <v>7.2144083273664061E-2</v>
      </c>
      <c r="T109" s="6">
        <f t="shared" ref="T109:T134" si="167">AVERAGE(R98:R109)</f>
        <v>6.6016600482767238E-2</v>
      </c>
      <c r="U109" s="6">
        <f t="shared" ref="U109:U134" si="168">AVERAGE(R92:R109)</f>
        <v>6.238409538666681E-2</v>
      </c>
      <c r="V109" s="2">
        <v>243987.8</v>
      </c>
      <c r="W109" s="2">
        <v>43810645</v>
      </c>
      <c r="X109" s="2">
        <v>742052</v>
      </c>
      <c r="Y109" s="2">
        <v>111482</v>
      </c>
      <c r="Z109" s="2">
        <v>0</v>
      </c>
      <c r="AA109" s="2">
        <v>26260</v>
      </c>
      <c r="AB109" s="2">
        <v>23033</v>
      </c>
      <c r="AC109" s="2">
        <v>13338.13</v>
      </c>
      <c r="AD109" s="2">
        <f>+AD108+AC109</f>
        <v>1525852.19</v>
      </c>
      <c r="AE109" s="4">
        <f t="shared" si="163"/>
        <v>1.6953913222222221E-2</v>
      </c>
      <c r="AF109" s="2">
        <v>30510060.539999999</v>
      </c>
      <c r="AG109" s="5">
        <f t="shared" si="164"/>
        <v>0.40118422800788955</v>
      </c>
      <c r="AH109" s="2">
        <f t="shared" si="58"/>
        <v>29306507.855976332</v>
      </c>
      <c r="AI109" s="2">
        <f t="shared" si="109"/>
        <v>13950000</v>
      </c>
      <c r="AJ109" s="5">
        <f t="shared" si="125"/>
        <v>1</v>
      </c>
      <c r="AK109" s="4">
        <f t="shared" si="134"/>
        <v>0.67983933493828252</v>
      </c>
      <c r="AL109" s="9">
        <v>363047.6</v>
      </c>
      <c r="AM109" s="4">
        <f t="shared" si="135"/>
        <v>0.32825026024988024</v>
      </c>
      <c r="AO109" s="8">
        <f t="shared" si="143"/>
        <v>0.97620913340925131</v>
      </c>
      <c r="AP109" s="8">
        <f t="shared" si="144"/>
        <v>1.6534747202754073E-2</v>
      </c>
      <c r="AQ109" s="8">
        <f t="shared" si="145"/>
        <v>2.4840936856951128E-3</v>
      </c>
      <c r="AR109" s="8">
        <f t="shared" si="146"/>
        <v>0</v>
      </c>
      <c r="AS109" s="8">
        <f t="shared" si="147"/>
        <v>5.8513751265992407E-4</v>
      </c>
      <c r="AT109" s="8">
        <f t="shared" si="148"/>
        <v>5.1323200034638359E-4</v>
      </c>
    </row>
    <row r="110" spans="1:46" x14ac:dyDescent="0.25">
      <c r="A110">
        <f t="shared" si="65"/>
        <v>106</v>
      </c>
      <c r="B110" s="3">
        <v>42401</v>
      </c>
      <c r="C110" s="4">
        <v>5.2499999999999998E-2</v>
      </c>
      <c r="D110">
        <v>2251</v>
      </c>
      <c r="E110" s="2">
        <v>44440638.359999999</v>
      </c>
      <c r="G110" s="5">
        <f t="shared" si="136"/>
        <v>0.49378487066666665</v>
      </c>
      <c r="H110" s="2">
        <f t="shared" si="137"/>
        <v>336389.67064814817</v>
      </c>
      <c r="I110" s="2">
        <v>306375.83</v>
      </c>
      <c r="J110" s="2"/>
      <c r="K110" s="2"/>
      <c r="L110" s="2"/>
      <c r="M110" s="2"/>
      <c r="N110" s="2"/>
      <c r="O110" s="2"/>
      <c r="P110" s="36">
        <v>17</v>
      </c>
      <c r="Q110" s="6">
        <f t="shared" si="138"/>
        <v>6.8268084960136999E-3</v>
      </c>
      <c r="R110" s="6">
        <f t="shared" si="165"/>
        <v>7.8914684117957656E-2</v>
      </c>
      <c r="S110" s="6">
        <f t="shared" si="166"/>
        <v>7.3332096718438058E-2</v>
      </c>
      <c r="T110" s="6">
        <f t="shared" si="167"/>
        <v>6.8700935787085388E-2</v>
      </c>
      <c r="U110" s="6">
        <f t="shared" si="168"/>
        <v>6.3857996455810973E-2</v>
      </c>
      <c r="V110" s="2">
        <v>0</v>
      </c>
      <c r="W110" s="2">
        <v>43292081</v>
      </c>
      <c r="X110" s="2">
        <v>817983</v>
      </c>
      <c r="Y110" s="2">
        <v>134882</v>
      </c>
      <c r="Z110" s="2">
        <v>0</v>
      </c>
      <c r="AA110" s="2">
        <v>0</v>
      </c>
      <c r="AB110" s="2">
        <v>26200</v>
      </c>
      <c r="AC110" s="2">
        <v>23099.11</v>
      </c>
      <c r="AD110" s="2">
        <f>+AD109+AC110</f>
        <v>1548951.3</v>
      </c>
      <c r="AE110" s="4">
        <f t="shared" si="163"/>
        <v>1.7210570000000001E-2</v>
      </c>
      <c r="AF110" s="2">
        <v>30094741.420000002</v>
      </c>
      <c r="AG110" s="5">
        <f t="shared" si="164"/>
        <v>0.39572309559500329</v>
      </c>
      <c r="AH110" s="2">
        <f t="shared" si="58"/>
        <v>28907572.133214992</v>
      </c>
      <c r="AI110" s="2">
        <f t="shared" si="109"/>
        <v>13950000</v>
      </c>
      <c r="AJ110" s="5">
        <f t="shared" si="125"/>
        <v>1</v>
      </c>
      <c r="AK110" s="4">
        <f t="shared" si="134"/>
        <v>0.67718967437442545</v>
      </c>
      <c r="AL110" s="9">
        <v>395001.56</v>
      </c>
      <c r="AM110" s="4">
        <f t="shared" si="135"/>
        <v>0.33169862189171295</v>
      </c>
      <c r="AO110" s="8">
        <f t="shared" si="143"/>
        <v>0.97415524613539783</v>
      </c>
      <c r="AP110" s="8">
        <f t="shared" si="144"/>
        <v>1.8406193749373495E-2</v>
      </c>
      <c r="AQ110" s="8">
        <f t="shared" si="145"/>
        <v>3.0351049169762647E-3</v>
      </c>
      <c r="AR110" s="8">
        <f t="shared" si="146"/>
        <v>0</v>
      </c>
      <c r="AS110" s="8">
        <f t="shared" si="147"/>
        <v>0</v>
      </c>
      <c r="AT110" s="8">
        <f t="shared" si="148"/>
        <v>5.8955048727612385E-4</v>
      </c>
    </row>
    <row r="111" spans="1:46" x14ac:dyDescent="0.25">
      <c r="A111">
        <f t="shared" si="65"/>
        <v>107</v>
      </c>
      <c r="B111" s="3">
        <v>42445</v>
      </c>
      <c r="C111" s="4">
        <v>5.2499999999999998E-2</v>
      </c>
      <c r="D111">
        <v>2230</v>
      </c>
      <c r="E111" s="2">
        <v>43807633.049999997</v>
      </c>
      <c r="G111" s="5">
        <f t="shared" si="136"/>
        <v>0.48675147833333332</v>
      </c>
      <c r="H111" s="2">
        <f t="shared" si="137"/>
        <v>414595.02690359839</v>
      </c>
      <c r="I111" s="2">
        <v>446700.82</v>
      </c>
      <c r="J111" s="2"/>
      <c r="K111" s="2"/>
      <c r="L111" s="2"/>
      <c r="M111" s="2"/>
      <c r="N111" s="2"/>
      <c r="O111" s="2"/>
      <c r="P111" s="36">
        <v>21</v>
      </c>
      <c r="Q111" s="6">
        <f t="shared" si="138"/>
        <v>1.0051629240368095E-2</v>
      </c>
      <c r="R111" s="6">
        <f t="shared" si="165"/>
        <v>0.11416967681251278</v>
      </c>
      <c r="S111" s="6">
        <f t="shared" si="166"/>
        <v>8.5625607237506382E-2</v>
      </c>
      <c r="T111" s="6">
        <f t="shared" si="167"/>
        <v>7.4447446231485179E-2</v>
      </c>
      <c r="U111" s="6">
        <f t="shared" si="168"/>
        <v>6.5001284780718677E-2</v>
      </c>
      <c r="V111" s="2">
        <v>0</v>
      </c>
      <c r="W111" s="2">
        <v>42461926</v>
      </c>
      <c r="X111" s="2">
        <v>169663</v>
      </c>
      <c r="Y111" s="2">
        <v>26341</v>
      </c>
      <c r="Z111" s="2">
        <v>0</v>
      </c>
      <c r="AA111" s="2">
        <v>0</v>
      </c>
      <c r="AB111" s="2"/>
      <c r="AC111" s="2">
        <v>26259.55</v>
      </c>
      <c r="AD111" s="2">
        <f>+AD110+AC111</f>
        <v>1575210.85</v>
      </c>
      <c r="AE111" s="4">
        <f t="shared" si="163"/>
        <v>1.750234277777778E-2</v>
      </c>
      <c r="AF111" s="2">
        <v>29429467.460000001</v>
      </c>
      <c r="AG111" s="5">
        <f t="shared" si="164"/>
        <v>0.38697524602235372</v>
      </c>
      <c r="AH111" s="2">
        <f t="shared" si="58"/>
        <v>28268541.72193294</v>
      </c>
      <c r="AI111" s="2">
        <f t="shared" si="109"/>
        <v>13950000</v>
      </c>
      <c r="AJ111" s="5">
        <f t="shared" si="125"/>
        <v>1</v>
      </c>
      <c r="AK111" s="4">
        <f t="shared" si="134"/>
        <v>0.67178857680830584</v>
      </c>
      <c r="AL111" s="9">
        <v>402446.77</v>
      </c>
      <c r="AM111" s="4">
        <f t="shared" si="135"/>
        <v>0.33739810464377507</v>
      </c>
      <c r="AO111" s="8">
        <f t="shared" si="143"/>
        <v>0.96928144808773231</v>
      </c>
      <c r="AP111" s="8">
        <f t="shared" si="144"/>
        <v>3.8729095408180244E-3</v>
      </c>
      <c r="AQ111" s="8">
        <f t="shared" si="145"/>
        <v>6.0128790729085057E-4</v>
      </c>
      <c r="AR111" s="8">
        <f t="shared" si="146"/>
        <v>0</v>
      </c>
      <c r="AS111" s="8">
        <f t="shared" si="147"/>
        <v>0</v>
      </c>
      <c r="AT111" s="8">
        <f t="shared" si="148"/>
        <v>0</v>
      </c>
    </row>
    <row r="112" spans="1:46" x14ac:dyDescent="0.25">
      <c r="A112">
        <f t="shared" si="65"/>
        <v>108</v>
      </c>
      <c r="B112" s="3">
        <f>+B111+31</f>
        <v>42476</v>
      </c>
      <c r="C112" s="4">
        <v>5.2499999999999998E-2</v>
      </c>
      <c r="D112">
        <v>2206</v>
      </c>
      <c r="E112" s="2">
        <v>43807633.049999997</v>
      </c>
      <c r="G112" s="5">
        <f t="shared" si="136"/>
        <v>0.48675147833333332</v>
      </c>
      <c r="H112" s="2">
        <f t="shared" si="137"/>
        <v>471472.28394618828</v>
      </c>
      <c r="I112" s="2">
        <v>465263.82</v>
      </c>
      <c r="J112" s="2"/>
      <c r="K112" s="2"/>
      <c r="L112" s="2"/>
      <c r="M112" s="2"/>
      <c r="N112" s="2"/>
      <c r="O112" s="2"/>
      <c r="P112" s="36">
        <v>24</v>
      </c>
      <c r="Q112" s="6">
        <f t="shared" si="138"/>
        <v>1.0620610784174747E-2</v>
      </c>
      <c r="R112" s="6">
        <f t="shared" si="165"/>
        <v>0.12026006540425749</v>
      </c>
      <c r="S112" s="6">
        <f t="shared" si="166"/>
        <v>0.10444814211157598</v>
      </c>
      <c r="T112" s="6">
        <f t="shared" si="167"/>
        <v>8.0951791124020428E-2</v>
      </c>
      <c r="U112" s="6">
        <f t="shared" si="168"/>
        <v>7.0000751270636333E-2</v>
      </c>
      <c r="V112" s="2">
        <v>0</v>
      </c>
      <c r="W112" s="2">
        <v>42089174</v>
      </c>
      <c r="X112" s="2">
        <v>697267</v>
      </c>
      <c r="Y112" s="2">
        <v>145028</v>
      </c>
      <c r="Z112" s="2">
        <v>20908</v>
      </c>
      <c r="AA112" s="2">
        <v>26341</v>
      </c>
      <c r="AB112" s="2">
        <v>0</v>
      </c>
      <c r="AC112" s="2">
        <v>0</v>
      </c>
      <c r="AD112" s="2">
        <f t="shared" ref="AD112:AD127" si="169">+AD111+AC112</f>
        <v>1575210.85</v>
      </c>
      <c r="AE112" s="4">
        <f t="shared" si="163"/>
        <v>1.750234277777778E-2</v>
      </c>
      <c r="AF112" s="2">
        <v>28775241.280000001</v>
      </c>
      <c r="AG112" s="5">
        <f t="shared" si="164"/>
        <v>0.37837266640368178</v>
      </c>
      <c r="AH112" s="2">
        <f t="shared" si="58"/>
        <v>27640123.280788958</v>
      </c>
      <c r="AI112" s="2">
        <f t="shared" si="109"/>
        <v>13950000</v>
      </c>
      <c r="AJ112" s="5">
        <f t="shared" si="125"/>
        <v>1</v>
      </c>
      <c r="AK112" s="4">
        <f t="shared" si="134"/>
        <v>0.65685450860029981</v>
      </c>
      <c r="AL112" s="9">
        <v>260864.98</v>
      </c>
      <c r="AM112" s="4">
        <f t="shared" si="135"/>
        <v>0.349100275117466</v>
      </c>
      <c r="AO112" s="8">
        <f t="shared" si="143"/>
        <v>0.96077261129267977</v>
      </c>
      <c r="AP112" s="8">
        <f t="shared" si="144"/>
        <v>1.5916564111194319E-2</v>
      </c>
      <c r="AQ112" s="8">
        <f t="shared" si="145"/>
        <v>3.310564618601324E-3</v>
      </c>
      <c r="AR112" s="8">
        <f t="shared" si="146"/>
        <v>4.772684243436887E-4</v>
      </c>
      <c r="AS112" s="8">
        <f t="shared" si="147"/>
        <v>6.0128790729085057E-4</v>
      </c>
      <c r="AT112" s="8">
        <f t="shared" si="148"/>
        <v>0</v>
      </c>
    </row>
    <row r="113" spans="1:46" x14ac:dyDescent="0.25">
      <c r="A113">
        <f t="shared" si="65"/>
        <v>109</v>
      </c>
      <c r="B113" s="3">
        <f t="shared" ref="B113:B125" si="170">+B112+31</f>
        <v>42507</v>
      </c>
      <c r="C113" s="4">
        <v>5.2499999999999998E-2</v>
      </c>
      <c r="D113">
        <v>2191</v>
      </c>
      <c r="E113" s="2">
        <v>42731450.049999997</v>
      </c>
      <c r="G113" s="5">
        <f t="shared" si="136"/>
        <v>0.47479388944444439</v>
      </c>
      <c r="H113" s="2">
        <f t="shared" si="137"/>
        <v>297876.01801903901</v>
      </c>
      <c r="I113" s="2">
        <v>303293.67</v>
      </c>
      <c r="J113" s="2"/>
      <c r="K113" s="2"/>
      <c r="L113" s="2"/>
      <c r="M113" s="2"/>
      <c r="N113" s="2"/>
      <c r="O113" s="2"/>
      <c r="P113" s="36">
        <v>15</v>
      </c>
      <c r="Q113" s="6">
        <f t="shared" si="138"/>
        <v>6.9233064852838476E-3</v>
      </c>
      <c r="R113" s="6">
        <f t="shared" si="165"/>
        <v>7.9988036470240775E-2</v>
      </c>
      <c r="S113" s="6">
        <f t="shared" si="166"/>
        <v>0.10480592622900368</v>
      </c>
      <c r="T113" s="6">
        <f t="shared" si="167"/>
        <v>8.2500287173401007E-2</v>
      </c>
      <c r="U113" s="6">
        <f t="shared" si="168"/>
        <v>7.1321689449145909E-2</v>
      </c>
      <c r="V113" s="2">
        <v>0</v>
      </c>
      <c r="W113" s="2">
        <v>41488081</v>
      </c>
      <c r="X113" s="2">
        <v>903908</v>
      </c>
      <c r="Y113" s="2">
        <v>51238</v>
      </c>
      <c r="Z113" s="2">
        <v>76515</v>
      </c>
      <c r="AA113" s="2">
        <v>20908</v>
      </c>
      <c r="AB113" s="2">
        <v>26341</v>
      </c>
      <c r="AC113" s="2">
        <v>0</v>
      </c>
      <c r="AD113" s="2">
        <f t="shared" si="169"/>
        <v>1575210.85</v>
      </c>
      <c r="AE113" s="4">
        <f t="shared" si="163"/>
        <v>1.750234277777778E-2</v>
      </c>
      <c r="AF113" s="2">
        <v>28363513.579999998</v>
      </c>
      <c r="AG113" s="5">
        <f t="shared" si="164"/>
        <v>0.37295875844838922</v>
      </c>
      <c r="AH113" s="2">
        <f t="shared" si="58"/>
        <v>27244637.304654833</v>
      </c>
      <c r="AI113" s="2">
        <f t="shared" si="109"/>
        <v>13950000</v>
      </c>
      <c r="AJ113" s="5">
        <f t="shared" si="125"/>
        <v>1</v>
      </c>
      <c r="AK113" s="4">
        <f t="shared" si="134"/>
        <v>0.6637620194683751</v>
      </c>
      <c r="AL113" s="9">
        <v>366010.61</v>
      </c>
      <c r="AM113" s="4">
        <f t="shared" si="135"/>
        <v>0.34480334888612096</v>
      </c>
      <c r="AO113" s="8">
        <f t="shared" si="143"/>
        <v>0.97090271805555084</v>
      </c>
      <c r="AP113" s="8">
        <f t="shared" si="144"/>
        <v>2.1153225526920776E-2</v>
      </c>
      <c r="AQ113" s="8">
        <f t="shared" si="145"/>
        <v>1.1990700044123591E-3</v>
      </c>
      <c r="AR113" s="8">
        <f t="shared" si="146"/>
        <v>1.7906015337759409E-3</v>
      </c>
      <c r="AS113" s="8">
        <f t="shared" si="147"/>
        <v>4.8928833389776344E-4</v>
      </c>
      <c r="AT113" s="8">
        <f t="shared" si="148"/>
        <v>6.1643122265166389E-4</v>
      </c>
    </row>
    <row r="114" spans="1:46" x14ac:dyDescent="0.25">
      <c r="A114">
        <f t="shared" si="65"/>
        <v>110</v>
      </c>
      <c r="B114" s="3">
        <f t="shared" si="170"/>
        <v>42538</v>
      </c>
      <c r="C114" s="4">
        <v>5.2499999999999998E-2</v>
      </c>
      <c r="D114">
        <v>2177</v>
      </c>
      <c r="E114" s="2">
        <v>42320734.630000003</v>
      </c>
      <c r="G114" s="5">
        <f t="shared" si="136"/>
        <v>0.47023038477777779</v>
      </c>
      <c r="H114" s="2">
        <f t="shared" si="137"/>
        <v>273044.40926517569</v>
      </c>
      <c r="I114" s="2">
        <v>252692.39</v>
      </c>
      <c r="J114" s="2"/>
      <c r="K114" s="2"/>
      <c r="L114" s="2"/>
      <c r="M114" s="2"/>
      <c r="N114" s="2"/>
      <c r="O114" s="2"/>
      <c r="P114" s="36">
        <v>14</v>
      </c>
      <c r="Q114" s="6">
        <f t="shared" si="138"/>
        <v>5.9134990669477651E-3</v>
      </c>
      <c r="R114" s="6">
        <f t="shared" si="165"/>
        <v>6.8698898299304423E-2</v>
      </c>
      <c r="S114" s="6">
        <f t="shared" si="166"/>
        <v>8.9649000057934233E-2</v>
      </c>
      <c r="T114" s="6">
        <f t="shared" si="167"/>
        <v>8.0220003334311479E-2</v>
      </c>
      <c r="U114" s="6">
        <f t="shared" si="168"/>
        <v>7.3710135914868177E-2</v>
      </c>
      <c r="V114" s="2">
        <v>0</v>
      </c>
      <c r="W114" s="2">
        <v>41032948</v>
      </c>
      <c r="X114" s="2">
        <v>859283</v>
      </c>
      <c r="Y114" s="2">
        <v>200230</v>
      </c>
      <c r="Z114" s="2">
        <v>16566</v>
      </c>
      <c r="AA114" s="2">
        <v>0</v>
      </c>
      <c r="AB114" s="2">
        <v>20908</v>
      </c>
      <c r="AC114" s="2">
        <v>0</v>
      </c>
      <c r="AD114" s="2">
        <f t="shared" si="169"/>
        <v>1575210.85</v>
      </c>
      <c r="AE114" s="4">
        <f t="shared" si="163"/>
        <v>1.750234277777778E-2</v>
      </c>
      <c r="AF114" s="2">
        <v>27926456.890000001</v>
      </c>
      <c r="AG114" s="5">
        <f t="shared" si="164"/>
        <v>0.36721179342537807</v>
      </c>
      <c r="AH114" s="2">
        <f t="shared" si="58"/>
        <v>26824821.509723868</v>
      </c>
      <c r="AI114" s="2">
        <f t="shared" si="109"/>
        <v>13950000</v>
      </c>
      <c r="AJ114" s="5">
        <f t="shared" si="125"/>
        <v>1</v>
      </c>
      <c r="AK114" s="4">
        <f t="shared" si="134"/>
        <v>0.65987646798086785</v>
      </c>
      <c r="AL114" s="9">
        <v>314495.40000000002</v>
      </c>
      <c r="AM114" s="4">
        <f t="shared" si="135"/>
        <v>0.34755476880529756</v>
      </c>
      <c r="AO114" s="8">
        <f t="shared" si="143"/>
        <v>0.96957078743413105</v>
      </c>
      <c r="AP114" s="8">
        <f t="shared" si="144"/>
        <v>2.0304066257651347E-2</v>
      </c>
      <c r="AQ114" s="8">
        <f t="shared" si="145"/>
        <v>4.7312505737568756E-3</v>
      </c>
      <c r="AR114" s="8">
        <f t="shared" si="146"/>
        <v>3.9143932979501778E-4</v>
      </c>
      <c r="AS114" s="8">
        <f t="shared" si="147"/>
        <v>0</v>
      </c>
      <c r="AT114" s="8">
        <f t="shared" si="148"/>
        <v>4.9403679266897451E-4</v>
      </c>
    </row>
    <row r="115" spans="1:46" x14ac:dyDescent="0.25">
      <c r="A115">
        <f t="shared" si="65"/>
        <v>111</v>
      </c>
      <c r="B115" s="3">
        <f t="shared" si="170"/>
        <v>42569</v>
      </c>
      <c r="C115" s="4">
        <v>5.2499999999999998E-2</v>
      </c>
      <c r="D115">
        <v>2163</v>
      </c>
      <c r="E115" s="2">
        <v>41922770.469999999</v>
      </c>
      <c r="G115" s="5">
        <f t="shared" si="136"/>
        <v>0.46580856077777777</v>
      </c>
      <c r="H115" s="2">
        <f t="shared" si="137"/>
        <v>272159.06514469453</v>
      </c>
      <c r="I115" s="2">
        <v>271122.51</v>
      </c>
      <c r="J115" s="2"/>
      <c r="K115" s="2"/>
      <c r="L115" s="2"/>
      <c r="M115" s="2"/>
      <c r="N115" s="2"/>
      <c r="O115" s="2"/>
      <c r="P115" s="36">
        <v>14</v>
      </c>
      <c r="Q115" s="6">
        <f t="shared" si="138"/>
        <v>6.4063753233576607E-3</v>
      </c>
      <c r="R115" s="6">
        <f t="shared" si="165"/>
        <v>7.4224774220975731E-2</v>
      </c>
      <c r="S115" s="6">
        <f t="shared" si="166"/>
        <v>7.430390299684031E-2</v>
      </c>
      <c r="T115" s="6">
        <f t="shared" si="167"/>
        <v>8.2463018089820261E-2</v>
      </c>
      <c r="U115" s="6">
        <f t="shared" si="168"/>
        <v>7.3803074506580871E-2</v>
      </c>
      <c r="V115" s="2">
        <v>360960.43</v>
      </c>
      <c r="W115" s="2">
        <v>40803766</v>
      </c>
      <c r="X115" s="2">
        <v>750496</v>
      </c>
      <c r="Y115" s="2">
        <v>141923</v>
      </c>
      <c r="Z115" s="2">
        <v>11648</v>
      </c>
      <c r="AA115" s="2">
        <v>16566</v>
      </c>
      <c r="AB115" s="2">
        <v>0</v>
      </c>
      <c r="AC115" s="2">
        <v>20908.189999999999</v>
      </c>
      <c r="AD115" s="2">
        <f t="shared" si="169"/>
        <v>1596119.04</v>
      </c>
      <c r="AE115" s="4">
        <f t="shared" si="163"/>
        <v>1.7734656000000001E-2</v>
      </c>
      <c r="AF115" s="2">
        <v>27520922.670000002</v>
      </c>
      <c r="AG115" s="5">
        <f t="shared" si="164"/>
        <v>0.3618793250493097</v>
      </c>
      <c r="AH115" s="2">
        <f t="shared" si="58"/>
        <v>26435284.694852073</v>
      </c>
      <c r="AI115" s="2">
        <f t="shared" si="109"/>
        <v>13950000</v>
      </c>
      <c r="AJ115" s="5">
        <f t="shared" si="125"/>
        <v>1</v>
      </c>
      <c r="AK115" s="4">
        <f t="shared" si="134"/>
        <v>0.65646717431745161</v>
      </c>
      <c r="AL115" s="9">
        <v>320684.98</v>
      </c>
      <c r="AM115" s="4">
        <f t="shared" si="135"/>
        <v>0.35118224809439691</v>
      </c>
      <c r="AO115" s="8">
        <f t="shared" si="143"/>
        <v>0.97330795514097146</v>
      </c>
      <c r="AP115" s="8">
        <f t="shared" si="144"/>
        <v>1.7901870310242405E-2</v>
      </c>
      <c r="AQ115" s="8">
        <f t="shared" si="145"/>
        <v>3.3853440125470795E-3</v>
      </c>
      <c r="AR115" s="8">
        <f t="shared" si="146"/>
        <v>2.7784423284561612E-4</v>
      </c>
      <c r="AS115" s="8">
        <f t="shared" si="147"/>
        <v>3.9515518211885961E-4</v>
      </c>
      <c r="AT115" s="8">
        <f t="shared" si="148"/>
        <v>0</v>
      </c>
    </row>
    <row r="116" spans="1:46" x14ac:dyDescent="0.25">
      <c r="A116">
        <f t="shared" si="65"/>
        <v>112</v>
      </c>
      <c r="B116" s="3">
        <f t="shared" si="170"/>
        <v>42600</v>
      </c>
      <c r="C116" s="4">
        <v>5.2499999999999998E-2</v>
      </c>
      <c r="D116">
        <v>2144</v>
      </c>
      <c r="E116" s="2">
        <v>41406396.659999996</v>
      </c>
      <c r="G116" s="5">
        <f t="shared" si="136"/>
        <v>0.46007107399999997</v>
      </c>
      <c r="H116" s="2">
        <f t="shared" si="137"/>
        <v>368253.64721682848</v>
      </c>
      <c r="I116" s="2">
        <v>371547.34</v>
      </c>
      <c r="J116" s="2"/>
      <c r="K116" s="2"/>
      <c r="L116" s="2"/>
      <c r="M116" s="2"/>
      <c r="N116" s="2"/>
      <c r="O116" s="2"/>
      <c r="P116" s="36">
        <v>19</v>
      </c>
      <c r="Q116" s="6">
        <f t="shared" si="138"/>
        <v>8.8626618860001127E-3</v>
      </c>
      <c r="R116" s="6">
        <f t="shared" si="165"/>
        <v>0.10131799372020989</v>
      </c>
      <c r="S116" s="6">
        <f t="shared" si="166"/>
        <v>8.1413888746830018E-2</v>
      </c>
      <c r="T116" s="6">
        <f t="shared" si="167"/>
        <v>8.3442230503010098E-2</v>
      </c>
      <c r="U116" s="6">
        <f t="shared" si="168"/>
        <v>7.6837259687362547E-2</v>
      </c>
      <c r="V116" s="2">
        <v>0</v>
      </c>
      <c r="W116" s="2">
        <v>40149845</v>
      </c>
      <c r="X116" s="2">
        <v>876282</v>
      </c>
      <c r="Y116" s="2">
        <v>153685</v>
      </c>
      <c r="Z116" s="2">
        <v>0</v>
      </c>
      <c r="AA116" s="2">
        <v>11648</v>
      </c>
      <c r="AB116" s="2">
        <v>16556</v>
      </c>
      <c r="AC116" s="2">
        <v>0</v>
      </c>
      <c r="AD116" s="2">
        <f t="shared" si="169"/>
        <v>1596119.04</v>
      </c>
      <c r="AE116" s="4">
        <f t="shared" si="163"/>
        <v>1.7734656000000001E-2</v>
      </c>
      <c r="AF116" s="2">
        <v>27004548.859999999</v>
      </c>
      <c r="AG116" s="5">
        <f t="shared" si="164"/>
        <v>0.35508939986850757</v>
      </c>
      <c r="AH116" s="2">
        <f t="shared" si="58"/>
        <v>25939280.660394479</v>
      </c>
      <c r="AI116" s="2">
        <f t="shared" si="109"/>
        <v>13950000</v>
      </c>
      <c r="AJ116" s="5">
        <f t="shared" si="125"/>
        <v>1</v>
      </c>
      <c r="AK116" s="4">
        <f t="shared" si="134"/>
        <v>0.65218302094099689</v>
      </c>
      <c r="AL116" s="9">
        <v>336793.07</v>
      </c>
      <c r="AM116" s="4">
        <f t="shared" si="135"/>
        <v>0.3559508206189318</v>
      </c>
      <c r="AO116" s="8">
        <f t="shared" si="143"/>
        <v>0.9696531994725861</v>
      </c>
      <c r="AP116" s="8">
        <f t="shared" si="144"/>
        <v>2.1162962022399756E-2</v>
      </c>
      <c r="AQ116" s="8">
        <f t="shared" si="145"/>
        <v>3.711624589358798E-3</v>
      </c>
      <c r="AR116" s="8">
        <f t="shared" si="146"/>
        <v>0</v>
      </c>
      <c r="AS116" s="8">
        <f t="shared" si="147"/>
        <v>2.8130919228845549E-4</v>
      </c>
      <c r="AT116" s="8">
        <f t="shared" si="148"/>
        <v>3.9984160263802104E-4</v>
      </c>
    </row>
    <row r="117" spans="1:46" x14ac:dyDescent="0.25">
      <c r="A117">
        <f t="shared" si="65"/>
        <v>113</v>
      </c>
      <c r="B117" s="3">
        <f t="shared" si="170"/>
        <v>42631</v>
      </c>
      <c r="C117" s="4">
        <v>5.2499999999999998E-2</v>
      </c>
      <c r="D117">
        <v>2128</v>
      </c>
      <c r="E117" s="2">
        <v>40954847.920000002</v>
      </c>
      <c r="G117" s="5">
        <f t="shared" si="136"/>
        <v>0.45505386577777779</v>
      </c>
      <c r="H117" s="2">
        <f t="shared" si="137"/>
        <v>309002.96014925372</v>
      </c>
      <c r="I117" s="2">
        <v>325072.05</v>
      </c>
      <c r="J117" s="2"/>
      <c r="K117" s="2"/>
      <c r="L117" s="2"/>
      <c r="M117" s="2"/>
      <c r="N117" s="2"/>
      <c r="O117" s="2"/>
      <c r="P117" s="36">
        <v>16</v>
      </c>
      <c r="Q117" s="6">
        <f t="shared" si="138"/>
        <v>7.8507688719996922E-3</v>
      </c>
      <c r="R117" s="6">
        <f t="shared" si="165"/>
        <v>9.0245941040374422E-2</v>
      </c>
      <c r="S117" s="6">
        <f t="shared" si="166"/>
        <v>8.8596236327186675E-2</v>
      </c>
      <c r="T117" s="6">
        <f t="shared" si="167"/>
        <v>8.3753743119374377E-2</v>
      </c>
      <c r="U117" s="6">
        <f t="shared" si="168"/>
        <v>7.933917021851028E-2</v>
      </c>
      <c r="V117" s="2"/>
      <c r="W117" s="2">
        <v>39767410</v>
      </c>
      <c r="X117" s="2">
        <v>882618</v>
      </c>
      <c r="Y117" s="2">
        <v>78235</v>
      </c>
      <c r="Z117" s="2">
        <v>0</v>
      </c>
      <c r="AA117" s="2">
        <v>0</v>
      </c>
      <c r="AB117" s="2">
        <v>11648</v>
      </c>
      <c r="AC117" s="2">
        <v>0</v>
      </c>
      <c r="AD117" s="2">
        <f t="shared" si="169"/>
        <v>1596119.04</v>
      </c>
      <c r="AE117" s="4">
        <f t="shared" si="163"/>
        <v>1.7734656000000001E-2</v>
      </c>
      <c r="AF117" s="2">
        <v>26536434.100000001</v>
      </c>
      <c r="AG117" s="5">
        <f t="shared" si="164"/>
        <v>0.34893404470742934</v>
      </c>
      <c r="AH117" s="2">
        <f t="shared" si="58"/>
        <v>25489631.965877715</v>
      </c>
      <c r="AI117" s="2">
        <f t="shared" si="109"/>
        <v>13950000</v>
      </c>
      <c r="AJ117" s="5">
        <f t="shared" si="125"/>
        <v>1</v>
      </c>
      <c r="AK117" s="4">
        <f t="shared" si="134"/>
        <v>0.64794366107366563</v>
      </c>
      <c r="AL117" s="9">
        <v>300786.48</v>
      </c>
      <c r="AM117" s="4">
        <f t="shared" si="135"/>
        <v>0.35940068264328695</v>
      </c>
      <c r="AO117" s="8">
        <f t="shared" si="143"/>
        <v>0.9710061694693749</v>
      </c>
      <c r="AP117" s="8">
        <f t="shared" si="144"/>
        <v>2.1551001769658139E-2</v>
      </c>
      <c r="AQ117" s="8">
        <f t="shared" si="145"/>
        <v>1.9102744601279427E-3</v>
      </c>
      <c r="AR117" s="8">
        <f t="shared" si="146"/>
        <v>0</v>
      </c>
      <c r="AS117" s="8">
        <f t="shared" si="147"/>
        <v>0</v>
      </c>
      <c r="AT117" s="8">
        <f t="shared" si="148"/>
        <v>2.8441077409816932E-4</v>
      </c>
    </row>
    <row r="118" spans="1:46" x14ac:dyDescent="0.25">
      <c r="A118">
        <f t="shared" si="65"/>
        <v>114</v>
      </c>
      <c r="B118" s="3">
        <f t="shared" si="170"/>
        <v>42662</v>
      </c>
      <c r="C118" s="4">
        <v>5.2499999999999998E-2</v>
      </c>
      <c r="D118">
        <v>2111</v>
      </c>
      <c r="E118" s="2">
        <v>40517199.020000003</v>
      </c>
      <c r="G118" s="5">
        <f t="shared" si="136"/>
        <v>0.45019110022222225</v>
      </c>
      <c r="H118" s="2">
        <f t="shared" si="137"/>
        <v>327176.88657894736</v>
      </c>
      <c r="I118" s="2">
        <v>323757.14</v>
      </c>
      <c r="J118" s="2"/>
      <c r="K118" s="2"/>
      <c r="L118" s="2"/>
      <c r="M118" s="2"/>
      <c r="N118" s="2"/>
      <c r="O118" s="2"/>
      <c r="P118" s="36">
        <v>17</v>
      </c>
      <c r="Q118" s="6">
        <f t="shared" si="138"/>
        <v>7.9052213948497072E-3</v>
      </c>
      <c r="R118" s="6">
        <f t="shared" si="165"/>
        <v>9.0844924958523032E-2</v>
      </c>
      <c r="S118" s="6">
        <f t="shared" si="166"/>
        <v>9.4136286573035785E-2</v>
      </c>
      <c r="T118" s="6">
        <f t="shared" si="167"/>
        <v>8.6258103738779027E-2</v>
      </c>
      <c r="U118" s="6">
        <f t="shared" si="168"/>
        <v>8.2041225677659646E-2</v>
      </c>
      <c r="V118" s="2">
        <v>0</v>
      </c>
      <c r="W118" s="2">
        <v>39256937</v>
      </c>
      <c r="X118" s="2">
        <v>788383</v>
      </c>
      <c r="Y118" s="2">
        <v>245295</v>
      </c>
      <c r="Z118" s="2">
        <v>0</v>
      </c>
      <c r="AA118" s="2">
        <v>0</v>
      </c>
      <c r="AB118" s="2">
        <v>0</v>
      </c>
      <c r="AC118" s="2">
        <v>11648</v>
      </c>
      <c r="AD118" s="2">
        <f t="shared" si="169"/>
        <v>1607767.04</v>
      </c>
      <c r="AE118" s="4">
        <f t="shared" si="163"/>
        <v>1.7864078222222222E-2</v>
      </c>
      <c r="AF118" s="2">
        <v>26087136.75</v>
      </c>
      <c r="AG118" s="5">
        <f t="shared" si="164"/>
        <v>0.343026124260355</v>
      </c>
      <c r="AH118" s="2">
        <f t="shared" si="58"/>
        <v>25058058.377218936</v>
      </c>
      <c r="AI118" s="2">
        <f t="shared" si="109"/>
        <v>13950000</v>
      </c>
      <c r="AJ118" s="5">
        <f t="shared" si="125"/>
        <v>1</v>
      </c>
      <c r="AK118" s="4">
        <f t="shared" si="134"/>
        <v>0.64385340993396234</v>
      </c>
      <c r="AL118" s="9">
        <v>335852.2</v>
      </c>
      <c r="AM118" s="4">
        <f t="shared" si="135"/>
        <v>0.36443571685967946</v>
      </c>
      <c r="AO118" s="8">
        <f t="shared" si="143"/>
        <v>0.96889562826448306</v>
      </c>
      <c r="AP118" s="8">
        <f t="shared" si="144"/>
        <v>1.9457983746873526E-2</v>
      </c>
      <c r="AQ118" s="8">
        <f t="shared" si="145"/>
        <v>6.0540956910401945E-3</v>
      </c>
      <c r="AR118" s="8">
        <f t="shared" si="146"/>
        <v>0</v>
      </c>
      <c r="AS118" s="8">
        <f t="shared" si="147"/>
        <v>0</v>
      </c>
      <c r="AT118" s="8">
        <f t="shared" si="148"/>
        <v>0</v>
      </c>
    </row>
    <row r="119" spans="1:46" x14ac:dyDescent="0.25">
      <c r="A119">
        <f t="shared" si="65"/>
        <v>115</v>
      </c>
      <c r="B119" s="3">
        <f t="shared" si="170"/>
        <v>42693</v>
      </c>
      <c r="C119" s="4">
        <v>5.2499999999999998E-2</v>
      </c>
      <c r="D119">
        <v>2095</v>
      </c>
      <c r="E119" s="2">
        <v>40083688.060000002</v>
      </c>
      <c r="G119" s="5">
        <f t="shared" si="136"/>
        <v>0.44537431177777781</v>
      </c>
      <c r="H119" s="2">
        <f t="shared" si="137"/>
        <v>307093.88172430132</v>
      </c>
      <c r="I119" s="2">
        <v>320574.13</v>
      </c>
      <c r="J119" s="2"/>
      <c r="K119" s="2"/>
      <c r="L119" s="2"/>
      <c r="M119" s="2"/>
      <c r="N119" s="2"/>
      <c r="O119" s="2"/>
      <c r="P119" s="36">
        <v>16</v>
      </c>
      <c r="Q119" s="6">
        <f t="shared" si="138"/>
        <v>7.9120506292095598E-3</v>
      </c>
      <c r="R119" s="6">
        <f t="shared" si="165"/>
        <v>9.0920021791799921E-2</v>
      </c>
      <c r="S119" s="6">
        <f t="shared" si="166"/>
        <v>9.0670295930232458E-2</v>
      </c>
      <c r="T119" s="6">
        <f t="shared" si="167"/>
        <v>8.7555551906126058E-2</v>
      </c>
      <c r="U119" s="6">
        <f t="shared" si="168"/>
        <v>8.3680888895111077E-2</v>
      </c>
      <c r="V119" s="2">
        <v>0</v>
      </c>
      <c r="W119" s="2">
        <v>38701794</v>
      </c>
      <c r="X119" s="2">
        <v>889570</v>
      </c>
      <c r="Y119" s="2">
        <v>232181</v>
      </c>
      <c r="Z119" s="2">
        <v>33558</v>
      </c>
      <c r="AA119" s="2">
        <v>0</v>
      </c>
      <c r="AB119" s="2">
        <v>0</v>
      </c>
      <c r="AC119" s="2">
        <v>0</v>
      </c>
      <c r="AD119" s="2">
        <f t="shared" si="169"/>
        <v>1607767.04</v>
      </c>
      <c r="AE119" s="4">
        <f t="shared" si="163"/>
        <v>1.7864078222222222E-2</v>
      </c>
      <c r="AF119" s="2">
        <v>25653625.789999999</v>
      </c>
      <c r="AG119" s="5">
        <f t="shared" si="164"/>
        <v>0.33732578290598292</v>
      </c>
      <c r="AH119" s="2">
        <f t="shared" si="58"/>
        <v>24641648.441282053</v>
      </c>
      <c r="AI119" s="2">
        <f t="shared" si="109"/>
        <v>13950000</v>
      </c>
      <c r="AJ119" s="5">
        <f t="shared" si="125"/>
        <v>1</v>
      </c>
      <c r="AK119" s="4">
        <f t="shared" si="134"/>
        <v>0.64000163237474306</v>
      </c>
      <c r="AL119" s="9">
        <v>310028.48</v>
      </c>
      <c r="AM119" s="4">
        <f t="shared" si="135"/>
        <v>0.36773289743039683</v>
      </c>
      <c r="AO119" s="8">
        <f t="shared" si="143"/>
        <v>0.96552477761199296</v>
      </c>
      <c r="AP119" s="8">
        <f t="shared" si="144"/>
        <v>2.2192818152571962E-2</v>
      </c>
      <c r="AQ119" s="8">
        <f t="shared" si="145"/>
        <v>5.7924061192287397E-3</v>
      </c>
      <c r="AR119" s="8">
        <f t="shared" si="146"/>
        <v>8.371984122261428E-4</v>
      </c>
      <c r="AS119" s="8">
        <f t="shared" si="147"/>
        <v>0</v>
      </c>
      <c r="AT119" s="8">
        <f t="shared" si="148"/>
        <v>0</v>
      </c>
    </row>
    <row r="120" spans="1:46" x14ac:dyDescent="0.25">
      <c r="A120">
        <f t="shared" si="65"/>
        <v>116</v>
      </c>
      <c r="B120" s="3">
        <f t="shared" si="170"/>
        <v>42724</v>
      </c>
      <c r="C120" s="4">
        <v>5.2499999999999998E-2</v>
      </c>
      <c r="D120">
        <v>2088</v>
      </c>
      <c r="E120" s="2">
        <v>39823322.640000001</v>
      </c>
      <c r="G120" s="5">
        <f t="shared" si="136"/>
        <v>0.44248136266666666</v>
      </c>
      <c r="H120" s="2">
        <f t="shared" si="137"/>
        <v>133931.17728878281</v>
      </c>
      <c r="I120" s="2">
        <v>148555.53</v>
      </c>
      <c r="J120" s="2"/>
      <c r="K120" s="2"/>
      <c r="L120" s="2"/>
      <c r="M120" s="2"/>
      <c r="N120" s="2"/>
      <c r="O120" s="2"/>
      <c r="P120" s="36">
        <v>7</v>
      </c>
      <c r="Q120" s="6">
        <f t="shared" si="138"/>
        <v>3.7061342703204338E-3</v>
      </c>
      <c r="R120" s="6">
        <f t="shared" si="165"/>
        <v>4.357817912387596E-2</v>
      </c>
      <c r="S120" s="6">
        <f t="shared" si="166"/>
        <v>7.5114375291399638E-2</v>
      </c>
      <c r="T120" s="6">
        <f t="shared" si="167"/>
        <v>8.4746304728506736E-2</v>
      </c>
      <c r="U120" s="6">
        <f t="shared" si="168"/>
        <v>8.0765104159305351E-2</v>
      </c>
      <c r="V120" s="2">
        <v>0</v>
      </c>
      <c r="W120" s="2">
        <v>38153168</v>
      </c>
      <c r="X120" s="2">
        <v>1019881</v>
      </c>
      <c r="Y120" s="2">
        <v>350493</v>
      </c>
      <c r="Z120" s="2">
        <v>74385</v>
      </c>
      <c r="AA120" s="2">
        <v>33558</v>
      </c>
      <c r="AB120" s="2">
        <v>0</v>
      </c>
      <c r="AC120" s="2">
        <v>0</v>
      </c>
      <c r="AD120" s="2">
        <f t="shared" si="169"/>
        <v>1607767.04</v>
      </c>
      <c r="AE120" s="4">
        <f t="shared" si="163"/>
        <v>1.7864078222222222E-2</v>
      </c>
      <c r="AF120" s="2">
        <v>24428007.93</v>
      </c>
      <c r="AG120" s="5">
        <f t="shared" si="164"/>
        <v>0.32120983471400394</v>
      </c>
      <c r="AH120" s="2">
        <f t="shared" si="58"/>
        <v>23464378.425857987</v>
      </c>
      <c r="AI120" s="2">
        <f t="shared" si="109"/>
        <v>13950000</v>
      </c>
      <c r="AJ120" s="5">
        <f t="shared" si="125"/>
        <v>1</v>
      </c>
      <c r="AK120" s="4">
        <f t="shared" si="134"/>
        <v>0.61340958791478684</v>
      </c>
      <c r="AL120" s="9">
        <v>275284.51</v>
      </c>
      <c r="AM120" s="4">
        <f t="shared" si="135"/>
        <v>0.39350305753392556</v>
      </c>
      <c r="AO120" s="8">
        <f t="shared" si="143"/>
        <v>0.95806089172673814</v>
      </c>
      <c r="AP120" s="8">
        <f t="shared" si="144"/>
        <v>2.5610143312742927E-2</v>
      </c>
      <c r="AQ120" s="8">
        <f t="shared" si="145"/>
        <v>8.8011993165018343E-3</v>
      </c>
      <c r="AR120" s="8">
        <f t="shared" si="146"/>
        <v>1.8678752818401191E-3</v>
      </c>
      <c r="AS120" s="8">
        <f t="shared" si="147"/>
        <v>8.4267202672569364E-4</v>
      </c>
      <c r="AT120" s="8">
        <f t="shared" si="148"/>
        <v>0</v>
      </c>
    </row>
    <row r="121" spans="1:46" x14ac:dyDescent="0.25">
      <c r="A121">
        <f t="shared" si="65"/>
        <v>117</v>
      </c>
      <c r="B121" s="3">
        <f t="shared" si="170"/>
        <v>42755</v>
      </c>
      <c r="C121" s="4">
        <v>5.2499999999999998E-2</v>
      </c>
      <c r="D121">
        <v>2077</v>
      </c>
      <c r="E121" s="2">
        <v>39398614.119999997</v>
      </c>
      <c r="G121" s="5">
        <f t="shared" si="136"/>
        <v>0.4377623791111111</v>
      </c>
      <c r="H121" s="2">
        <f t="shared" si="137"/>
        <v>209797.19781609197</v>
      </c>
      <c r="I121" s="2">
        <v>244244.44</v>
      </c>
      <c r="J121" s="2"/>
      <c r="K121" s="2"/>
      <c r="L121" s="2"/>
      <c r="M121" s="2"/>
      <c r="N121" s="2"/>
      <c r="O121" s="2"/>
      <c r="P121" s="36">
        <v>11</v>
      </c>
      <c r="Q121" s="6">
        <f t="shared" si="138"/>
        <v>6.1332009437774027E-3</v>
      </c>
      <c r="R121" s="6">
        <f t="shared" si="165"/>
        <v>7.1165807219716326E-2</v>
      </c>
      <c r="S121" s="6">
        <f t="shared" si="166"/>
        <v>6.8554669378464064E-2</v>
      </c>
      <c r="T121" s="6">
        <f t="shared" si="167"/>
        <v>8.5360750264979024E-2</v>
      </c>
      <c r="U121" s="6">
        <f t="shared" si="168"/>
        <v>8.2090504718463478E-2</v>
      </c>
      <c r="V121" s="2">
        <v>184061.27</v>
      </c>
      <c r="W121" s="2">
        <v>38036387</v>
      </c>
      <c r="X121" s="2">
        <v>992773</v>
      </c>
      <c r="Y121" s="2">
        <v>74685</v>
      </c>
      <c r="Z121" s="2">
        <v>69374</v>
      </c>
      <c r="AA121" s="2">
        <v>7160</v>
      </c>
      <c r="AB121" s="2">
        <v>26398</v>
      </c>
      <c r="AC121" s="2">
        <v>0</v>
      </c>
      <c r="AD121" s="2">
        <f t="shared" si="169"/>
        <v>1607767.04</v>
      </c>
      <c r="AE121" s="4">
        <f t="shared" si="163"/>
        <v>1.7864078222222222E-2</v>
      </c>
      <c r="AF121" s="2">
        <v>25003299.41</v>
      </c>
      <c r="AG121" s="5">
        <f t="shared" si="164"/>
        <v>0.32877448270874426</v>
      </c>
      <c r="AH121" s="2">
        <f t="shared" si="58"/>
        <v>24016975.96187377</v>
      </c>
      <c r="AI121" s="2">
        <f t="shared" si="109"/>
        <v>13950000</v>
      </c>
      <c r="AJ121" s="5">
        <f t="shared" si="125"/>
        <v>1</v>
      </c>
      <c r="AK121" s="4">
        <f t="shared" si="134"/>
        <v>0.63462383051965088</v>
      </c>
      <c r="AL121" s="9">
        <v>319050.94</v>
      </c>
      <c r="AM121" s="4">
        <f t="shared" si="135"/>
        <v>0.37347419391918446</v>
      </c>
      <c r="AO121" s="8">
        <f t="shared" si="143"/>
        <v>0.96542449143386266</v>
      </c>
      <c r="AP121" s="8">
        <f t="shared" si="144"/>
        <v>2.5198170600017035E-2</v>
      </c>
      <c r="AQ121" s="8">
        <f t="shared" si="145"/>
        <v>1.8956250535240909E-3</v>
      </c>
      <c r="AR121" s="8">
        <f t="shared" si="146"/>
        <v>1.7608233576110368E-3</v>
      </c>
      <c r="AS121" s="8">
        <f t="shared" si="147"/>
        <v>1.8173228068865891E-4</v>
      </c>
      <c r="AT121" s="8">
        <f t="shared" si="148"/>
        <v>6.7002356782391317E-4</v>
      </c>
    </row>
    <row r="122" spans="1:46" x14ac:dyDescent="0.25">
      <c r="A122">
        <f t="shared" si="65"/>
        <v>118</v>
      </c>
      <c r="B122" s="3">
        <f t="shared" si="170"/>
        <v>42786</v>
      </c>
      <c r="C122" s="4">
        <v>5.2499999999999998E-2</v>
      </c>
      <c r="D122">
        <v>2060</v>
      </c>
      <c r="E122" s="2">
        <v>38956407.899999999</v>
      </c>
      <c r="F122">
        <v>3895640</v>
      </c>
      <c r="G122" s="5">
        <f t="shared" si="136"/>
        <v>0.43284897666666666</v>
      </c>
      <c r="H122" s="2">
        <f t="shared" si="137"/>
        <v>322473.00916706782</v>
      </c>
      <c r="I122" s="2">
        <v>285154.92</v>
      </c>
      <c r="J122" s="2"/>
      <c r="K122" s="2"/>
      <c r="L122" s="2"/>
      <c r="M122" s="2"/>
      <c r="N122" s="2"/>
      <c r="O122" s="2"/>
      <c r="P122" s="36">
        <v>17</v>
      </c>
      <c r="Q122" s="6">
        <f t="shared" si="138"/>
        <v>7.2376891007251499E-3</v>
      </c>
      <c r="R122" s="6">
        <f t="shared" si="165"/>
        <v>8.3476983837378005E-2</v>
      </c>
      <c r="S122" s="6">
        <f t="shared" si="166"/>
        <v>6.6073656726990102E-2</v>
      </c>
      <c r="T122" s="6">
        <f t="shared" si="167"/>
        <v>8.5740941908264048E-2</v>
      </c>
      <c r="U122" s="6">
        <f t="shared" si="168"/>
        <v>8.1752145778210494E-2</v>
      </c>
      <c r="V122" s="2">
        <v>0</v>
      </c>
      <c r="W122" s="2">
        <v>37624440</v>
      </c>
      <c r="X122" s="2">
        <v>798094</v>
      </c>
      <c r="Y122" s="2">
        <v>214821</v>
      </c>
      <c r="Z122" s="2">
        <v>55275</v>
      </c>
      <c r="AA122" s="2">
        <v>38383</v>
      </c>
      <c r="AB122" s="2">
        <v>7160</v>
      </c>
      <c r="AC122" s="2">
        <v>26397.99</v>
      </c>
      <c r="AD122" s="2">
        <f t="shared" si="169"/>
        <v>1634165.03</v>
      </c>
      <c r="AE122" s="4">
        <f t="shared" si="163"/>
        <v>1.8157389222222223E-2</v>
      </c>
      <c r="AF122" s="2">
        <v>24534695.199999999</v>
      </c>
      <c r="AG122" s="5">
        <f t="shared" si="164"/>
        <v>0.3226126916502301</v>
      </c>
      <c r="AH122" s="2">
        <f t="shared" si="58"/>
        <v>23566857.125049308</v>
      </c>
      <c r="AI122" s="2">
        <f t="shared" si="109"/>
        <v>13950000</v>
      </c>
      <c r="AJ122" s="5">
        <f t="shared" si="125"/>
        <v>1</v>
      </c>
      <c r="AK122" s="4">
        <f t="shared" si="134"/>
        <v>0.62979870379681491</v>
      </c>
      <c r="AL122" s="9">
        <v>287495.40999999997</v>
      </c>
      <c r="AM122" s="4">
        <f t="shared" si="135"/>
        <v>0.37758122226664537</v>
      </c>
      <c r="AO122" s="8">
        <f t="shared" si="143"/>
        <v>0.96580875979584357</v>
      </c>
      <c r="AP122" s="8">
        <f t="shared" si="144"/>
        <v>2.0486847813296464E-2</v>
      </c>
      <c r="AQ122" s="8">
        <f t="shared" si="145"/>
        <v>5.5143944624319432E-3</v>
      </c>
      <c r="AR122" s="8">
        <f t="shared" si="146"/>
        <v>1.4188936552335463E-3</v>
      </c>
      <c r="AS122" s="8">
        <f t="shared" si="147"/>
        <v>9.8528078098288931E-4</v>
      </c>
      <c r="AT122" s="8">
        <f t="shared" si="148"/>
        <v>1.8379517994522284E-4</v>
      </c>
    </row>
    <row r="123" spans="1:46" x14ac:dyDescent="0.25">
      <c r="A123">
        <f t="shared" si="65"/>
        <v>119</v>
      </c>
      <c r="B123" s="3">
        <f t="shared" si="170"/>
        <v>42817</v>
      </c>
      <c r="C123" s="4">
        <v>5.2499999999999998E-2</v>
      </c>
      <c r="D123">
        <v>2049</v>
      </c>
      <c r="E123" s="2">
        <v>38613450.740000002</v>
      </c>
      <c r="G123" s="5">
        <f t="shared" si="136"/>
        <v>0.42903834155555559</v>
      </c>
      <c r="H123" s="2">
        <f t="shared" si="137"/>
        <v>208019.65383495143</v>
      </c>
      <c r="I123" s="2">
        <v>215097.33</v>
      </c>
      <c r="J123" s="2"/>
      <c r="K123" s="2"/>
      <c r="L123" s="2"/>
      <c r="M123" s="2"/>
      <c r="N123" s="2"/>
      <c r="O123" s="2"/>
      <c r="P123" s="36">
        <v>11</v>
      </c>
      <c r="Q123" s="6">
        <f t="shared" si="138"/>
        <v>5.5214877755708066E-3</v>
      </c>
      <c r="R123" s="6">
        <f t="shared" si="165"/>
        <v>6.428229985199363E-2</v>
      </c>
      <c r="S123" s="6">
        <f t="shared" si="166"/>
        <v>7.297503030302932E-2</v>
      </c>
      <c r="T123" s="6">
        <f t="shared" si="167"/>
        <v>8.1583660494887467E-2</v>
      </c>
      <c r="U123" s="6">
        <f t="shared" si="168"/>
        <v>8.0517396345321068E-2</v>
      </c>
      <c r="V123" s="2">
        <v>0</v>
      </c>
      <c r="W123" s="2">
        <v>36817288</v>
      </c>
      <c r="X123" s="2">
        <v>1175159</v>
      </c>
      <c r="Y123" s="2">
        <v>271817</v>
      </c>
      <c r="Z123" s="2">
        <v>138441</v>
      </c>
      <c r="AA123" s="2">
        <v>0</v>
      </c>
      <c r="AB123" s="2">
        <v>25522</v>
      </c>
      <c r="AC123" s="2">
        <v>7159.8</v>
      </c>
      <c r="AD123" s="2">
        <f t="shared" si="169"/>
        <v>1641324.83</v>
      </c>
      <c r="AE123" s="4">
        <f t="shared" si="163"/>
        <v>1.8236942555555555E-2</v>
      </c>
      <c r="AF123" s="2">
        <v>24224748.899999999</v>
      </c>
      <c r="AG123" s="5">
        <f t="shared" si="164"/>
        <v>0.31853713214990137</v>
      </c>
      <c r="AH123" s="2">
        <f t="shared" si="58"/>
        <v>23269137.503550295</v>
      </c>
      <c r="AI123" s="2">
        <f t="shared" si="109"/>
        <v>13950000</v>
      </c>
      <c r="AJ123" s="5">
        <f t="shared" si="125"/>
        <v>1</v>
      </c>
      <c r="AK123" s="4">
        <f t="shared" si="134"/>
        <v>0.62736555360242319</v>
      </c>
      <c r="AL123" s="9">
        <v>273270.44</v>
      </c>
      <c r="AM123" s="4">
        <f t="shared" si="135"/>
        <v>0.37971152536262565</v>
      </c>
      <c r="AO123" s="8">
        <f t="shared" si="143"/>
        <v>0.95348349589125581</v>
      </c>
      <c r="AP123" s="8">
        <f t="shared" si="144"/>
        <v>3.0433928526948324E-2</v>
      </c>
      <c r="AQ123" s="8">
        <f t="shared" si="145"/>
        <v>7.0394381955203623E-3</v>
      </c>
      <c r="AR123" s="8">
        <f t="shared" si="146"/>
        <v>3.5853050516562041E-3</v>
      </c>
      <c r="AS123" s="8">
        <f t="shared" si="147"/>
        <v>0</v>
      </c>
      <c r="AT123" s="8">
        <f t="shared" si="148"/>
        <v>6.6096138808856948E-4</v>
      </c>
    </row>
    <row r="124" spans="1:46" x14ac:dyDescent="0.25">
      <c r="A124">
        <f t="shared" si="65"/>
        <v>120</v>
      </c>
      <c r="B124" s="3">
        <f t="shared" si="170"/>
        <v>42848</v>
      </c>
      <c r="C124" s="4">
        <v>5.2499999999999998E-2</v>
      </c>
      <c r="D124">
        <v>2038</v>
      </c>
      <c r="E124" s="2">
        <v>38293800.840000004</v>
      </c>
      <c r="G124" s="5">
        <f t="shared" si="136"/>
        <v>0.42548667600000006</v>
      </c>
      <c r="H124" s="2">
        <f t="shared" si="137"/>
        <v>207295.24555392875</v>
      </c>
      <c r="I124" s="2">
        <v>111224.97</v>
      </c>
      <c r="J124" s="2"/>
      <c r="K124" s="2"/>
      <c r="L124" s="2"/>
      <c r="M124" s="2"/>
      <c r="N124" s="2"/>
      <c r="O124" s="2"/>
      <c r="P124" s="36">
        <v>11</v>
      </c>
      <c r="Q124" s="6">
        <f t="shared" si="138"/>
        <v>2.8804721636748491E-3</v>
      </c>
      <c r="R124" s="6">
        <f t="shared" si="165"/>
        <v>3.4023280048310012E-2</v>
      </c>
      <c r="S124" s="6">
        <f t="shared" si="166"/>
        <v>6.0594187912560549E-2</v>
      </c>
      <c r="T124" s="6">
        <f t="shared" si="167"/>
        <v>7.4397261715225177E-2</v>
      </c>
      <c r="U124" s="6">
        <f t="shared" si="168"/>
        <v>7.9030212041023465E-2</v>
      </c>
      <c r="V124" s="2">
        <v>262799.95</v>
      </c>
      <c r="W124" s="2">
        <v>36757764</v>
      </c>
      <c r="X124" s="2">
        <v>915642</v>
      </c>
      <c r="Y124" s="2">
        <v>291131</v>
      </c>
      <c r="Z124" s="2">
        <v>105656</v>
      </c>
      <c r="AA124" s="2">
        <v>12861</v>
      </c>
      <c r="AB124" s="2">
        <v>0</v>
      </c>
      <c r="AC124" s="2">
        <v>25522.33</v>
      </c>
      <c r="AD124" s="2">
        <f t="shared" si="169"/>
        <v>1666847.1600000001</v>
      </c>
      <c r="AE124" s="4">
        <f t="shared" si="163"/>
        <v>1.8520524E-2</v>
      </c>
      <c r="AF124" s="2">
        <v>23879576.670000002</v>
      </c>
      <c r="AG124" s="5">
        <f t="shared" si="164"/>
        <v>0.31399837830374755</v>
      </c>
      <c r="AH124" s="2">
        <f t="shared" si="58"/>
        <v>22937581.535088759</v>
      </c>
      <c r="AI124" s="2">
        <f t="shared" si="109"/>
        <v>13950000</v>
      </c>
      <c r="AJ124" s="5">
        <f t="shared" si="125"/>
        <v>1</v>
      </c>
      <c r="AK124" s="4">
        <f t="shared" si="134"/>
        <v>0.62358857429102355</v>
      </c>
      <c r="AL124" s="9">
        <v>258902.37</v>
      </c>
      <c r="AM124" s="4">
        <f t="shared" si="135"/>
        <v>0.38317237302475093</v>
      </c>
      <c r="AO124" s="8">
        <f t="shared" si="143"/>
        <v>0.95988810704850358</v>
      </c>
      <c r="AP124" s="8">
        <f t="shared" si="144"/>
        <v>2.3910972008909626E-2</v>
      </c>
      <c r="AQ124" s="8">
        <f t="shared" si="145"/>
        <v>7.6025621279122938E-3</v>
      </c>
      <c r="AR124" s="8">
        <f t="shared" si="146"/>
        <v>2.7590888781569168E-3</v>
      </c>
      <c r="AS124" s="8">
        <f t="shared" si="147"/>
        <v>3.3585070475861383E-4</v>
      </c>
      <c r="AT124" s="8">
        <f t="shared" si="148"/>
        <v>0</v>
      </c>
    </row>
    <row r="125" spans="1:46" x14ac:dyDescent="0.25">
      <c r="A125">
        <f t="shared" si="65"/>
        <v>121</v>
      </c>
      <c r="B125" s="3">
        <f t="shared" si="170"/>
        <v>42879</v>
      </c>
      <c r="C125" s="4">
        <v>5.2499999999999998E-2</v>
      </c>
      <c r="D125">
        <v>2027</v>
      </c>
      <c r="E125" s="2">
        <v>37977193.75</v>
      </c>
      <c r="G125" s="5">
        <f t="shared" si="136"/>
        <v>0.42196881944444442</v>
      </c>
      <c r="H125" s="2">
        <f t="shared" si="137"/>
        <v>263058.49448478903</v>
      </c>
      <c r="I125" s="2">
        <v>162288.57</v>
      </c>
      <c r="J125" s="2"/>
      <c r="K125" s="2"/>
      <c r="L125" s="2"/>
      <c r="M125" s="2"/>
      <c r="N125" s="2"/>
      <c r="O125" s="2"/>
      <c r="P125" s="36">
        <v>14</v>
      </c>
      <c r="Q125" s="6">
        <f t="shared" si="138"/>
        <v>4.2379854294975223E-3</v>
      </c>
      <c r="R125" s="6">
        <f t="shared" si="165"/>
        <v>4.9687017814404544E-2</v>
      </c>
      <c r="S125" s="6">
        <f t="shared" si="166"/>
        <v>4.9330865904902731E-2</v>
      </c>
      <c r="T125" s="6">
        <f t="shared" si="167"/>
        <v>7.1872176827238829E-2</v>
      </c>
      <c r="U125" s="6">
        <f t="shared" si="168"/>
        <v>7.7604455042732862E-2</v>
      </c>
      <c r="V125" s="2">
        <v>0</v>
      </c>
      <c r="W125" s="2">
        <v>36224342</v>
      </c>
      <c r="X125" s="2">
        <v>1157628</v>
      </c>
      <c r="Y125" s="2">
        <v>290965</v>
      </c>
      <c r="Z125" s="2">
        <v>80651</v>
      </c>
      <c r="AA125" s="2">
        <v>0</v>
      </c>
      <c r="AB125" s="2">
        <v>12861</v>
      </c>
      <c r="AC125" s="2">
        <v>0</v>
      </c>
      <c r="AD125" s="2">
        <f t="shared" si="169"/>
        <v>1666847.1600000001</v>
      </c>
      <c r="AE125" s="4">
        <f t="shared" si="163"/>
        <v>1.8520524E-2</v>
      </c>
      <c r="AF125" s="2">
        <v>23562969.579999998</v>
      </c>
      <c r="AG125" s="5">
        <f t="shared" si="164"/>
        <v>0.30983523445101907</v>
      </c>
      <c r="AH125" s="2">
        <f t="shared" si="58"/>
        <v>22633463.876646943</v>
      </c>
      <c r="AI125" s="2">
        <f t="shared" si="109"/>
        <v>13950000</v>
      </c>
      <c r="AJ125" s="5">
        <f t="shared" si="125"/>
        <v>1</v>
      </c>
      <c r="AK125" s="4">
        <f t="shared" si="134"/>
        <v>0.62045051920140881</v>
      </c>
      <c r="AL125" s="9">
        <v>301280</v>
      </c>
      <c r="AM125" s="4">
        <f t="shared" si="135"/>
        <v>0.38748266306538259</v>
      </c>
      <c r="AO125" s="8">
        <f t="shared" si="143"/>
        <v>0.95384462155000593</v>
      </c>
      <c r="AP125" s="8">
        <f t="shared" si="144"/>
        <v>3.0482189063798324E-2</v>
      </c>
      <c r="AQ125" s="8">
        <f t="shared" si="145"/>
        <v>7.6615718874699637E-3</v>
      </c>
      <c r="AR125" s="8">
        <f t="shared" si="146"/>
        <v>2.1236692877024386E-3</v>
      </c>
      <c r="AS125" s="8">
        <f t="shared" si="147"/>
        <v>0</v>
      </c>
      <c r="AT125" s="8">
        <f t="shared" si="148"/>
        <v>3.3865061448886015E-4</v>
      </c>
    </row>
    <row r="126" spans="1:46" x14ac:dyDescent="0.25">
      <c r="A126">
        <f t="shared" si="65"/>
        <v>122</v>
      </c>
      <c r="B126" s="3">
        <f t="shared" ref="B126:B137" si="171">+B125+31</f>
        <v>42910</v>
      </c>
      <c r="C126" s="4">
        <v>5.2499999999999998E-2</v>
      </c>
      <c r="D126">
        <v>2021</v>
      </c>
      <c r="E126" s="2">
        <v>37725433.07</v>
      </c>
      <c r="G126" s="5">
        <f t="shared" si="136"/>
        <v>0.41917147855555553</v>
      </c>
      <c r="H126" s="2">
        <f t="shared" si="137"/>
        <v>112413.99235323137</v>
      </c>
      <c r="I126" s="2">
        <v>122272.26</v>
      </c>
      <c r="J126" s="2"/>
      <c r="K126" s="2"/>
      <c r="L126" s="2"/>
      <c r="M126" s="2"/>
      <c r="N126" s="2"/>
      <c r="O126" s="2"/>
      <c r="P126" s="36">
        <v>6</v>
      </c>
      <c r="Q126" s="6">
        <f t="shared" si="138"/>
        <v>3.2196233561886073E-3</v>
      </c>
      <c r="R126" s="6">
        <f t="shared" si="165"/>
        <v>3.7958615434546372E-2</v>
      </c>
      <c r="S126" s="6">
        <f t="shared" si="166"/>
        <v>4.0556304432420309E-2</v>
      </c>
      <c r="T126" s="6">
        <f t="shared" si="167"/>
        <v>6.9310486588508982E-2</v>
      </c>
      <c r="U126" s="6">
        <f t="shared" si="168"/>
        <v>7.5419425608246091E-2</v>
      </c>
      <c r="V126" s="2">
        <v>0</v>
      </c>
      <c r="W126" s="2">
        <v>35892311</v>
      </c>
      <c r="X126" s="2">
        <v>1156896</v>
      </c>
      <c r="Y126" s="2">
        <v>305943</v>
      </c>
      <c r="Z126" s="2">
        <v>98835</v>
      </c>
      <c r="AA126" s="2">
        <v>47841</v>
      </c>
      <c r="AB126" s="2">
        <v>0</v>
      </c>
      <c r="AC126" s="2">
        <v>0</v>
      </c>
      <c r="AD126" s="2">
        <f t="shared" si="169"/>
        <v>1666847.1600000001</v>
      </c>
      <c r="AE126" s="4">
        <f t="shared" si="163"/>
        <v>1.8520524E-2</v>
      </c>
      <c r="AF126" s="2">
        <v>23298348.190000001</v>
      </c>
      <c r="AG126" s="5">
        <f t="shared" si="164"/>
        <v>0.30635566324786329</v>
      </c>
      <c r="AH126" s="2">
        <f t="shared" si="58"/>
        <v>22379281.200256411</v>
      </c>
      <c r="AI126" s="2">
        <f t="shared" si="109"/>
        <v>13950000</v>
      </c>
      <c r="AJ126" s="5">
        <f t="shared" si="125"/>
        <v>1</v>
      </c>
      <c r="AK126" s="4">
        <f t="shared" si="134"/>
        <v>0.61757669280481509</v>
      </c>
      <c r="AL126" s="9">
        <v>251989.23</v>
      </c>
      <c r="AM126" s="4">
        <f t="shared" si="135"/>
        <v>0.38910286550621698</v>
      </c>
      <c r="AO126" s="8">
        <f t="shared" si="143"/>
        <v>0.95140885283944598</v>
      </c>
      <c r="AP126" s="8">
        <f t="shared" si="144"/>
        <v>3.0666208598675738E-2</v>
      </c>
      <c r="AQ126" s="8">
        <f t="shared" si="145"/>
        <v>8.1097279766760809E-3</v>
      </c>
      <c r="AR126" s="8">
        <f t="shared" si="146"/>
        <v>2.619850640723208E-3</v>
      </c>
      <c r="AS126" s="8">
        <f t="shared" si="147"/>
        <v>1.268136535668933E-3</v>
      </c>
      <c r="AT126" s="8">
        <f t="shared" si="148"/>
        <v>0</v>
      </c>
    </row>
    <row r="127" spans="1:46" x14ac:dyDescent="0.25">
      <c r="A127">
        <f t="shared" si="65"/>
        <v>123</v>
      </c>
      <c r="B127" s="3">
        <f t="shared" si="171"/>
        <v>42941</v>
      </c>
      <c r="C127" s="4">
        <v>5.2499999999999998E-2</v>
      </c>
      <c r="D127">
        <v>2014</v>
      </c>
      <c r="E127" s="2">
        <v>37483256.380000003</v>
      </c>
      <c r="G127" s="5">
        <f t="shared" si="136"/>
        <v>0.4164806264444445</v>
      </c>
      <c r="H127" s="2">
        <f t="shared" si="137"/>
        <v>130667.01211776347</v>
      </c>
      <c r="I127" s="2">
        <v>92107.39</v>
      </c>
      <c r="J127" s="2"/>
      <c r="K127" s="2"/>
      <c r="L127" s="2"/>
      <c r="M127" s="2"/>
      <c r="N127" s="2"/>
      <c r="O127" s="2"/>
      <c r="P127" s="36">
        <v>7</v>
      </c>
      <c r="Q127" s="6">
        <f t="shared" si="138"/>
        <v>2.4415197521813364E-3</v>
      </c>
      <c r="R127" s="6">
        <f t="shared" si="165"/>
        <v>2.8907994139146798E-2</v>
      </c>
      <c r="S127" s="6">
        <f t="shared" si="166"/>
        <v>3.8851209129365905E-2</v>
      </c>
      <c r="T127" s="6">
        <f t="shared" si="167"/>
        <v>6.5534088248356576E-2</v>
      </c>
      <c r="U127" s="6">
        <f t="shared" si="168"/>
        <v>7.3481399683640425E-2</v>
      </c>
      <c r="V127" s="2">
        <v>76194.679999999993</v>
      </c>
      <c r="W127" s="2">
        <v>35705136</v>
      </c>
      <c r="X127" s="2">
        <v>1215221</v>
      </c>
      <c r="Y127" s="2">
        <v>239442</v>
      </c>
      <c r="Z127" s="2">
        <v>85169</v>
      </c>
      <c r="AA127" s="2">
        <v>13271</v>
      </c>
      <c r="AB127" s="2">
        <v>47841</v>
      </c>
      <c r="AC127" s="2">
        <v>0</v>
      </c>
      <c r="AD127" s="2">
        <f t="shared" si="169"/>
        <v>1666847.1600000001</v>
      </c>
      <c r="AE127" s="4">
        <f t="shared" si="163"/>
        <v>1.8520524E-2</v>
      </c>
      <c r="AF127" s="2">
        <v>23038657.030000001</v>
      </c>
      <c r="AG127" s="5">
        <f t="shared" si="164"/>
        <v>0.30294092084155161</v>
      </c>
      <c r="AH127" s="2">
        <f t="shared" si="58"/>
        <v>22129834.267475348</v>
      </c>
      <c r="AI127" s="2">
        <f t="shared" si="109"/>
        <v>13950000</v>
      </c>
      <c r="AJ127" s="5">
        <f t="shared" si="125"/>
        <v>1</v>
      </c>
      <c r="AK127" s="4">
        <f t="shared" si="134"/>
        <v>0.61463862148041049</v>
      </c>
      <c r="AL127" s="9">
        <v>293049.71000000002</v>
      </c>
      <c r="AM127" s="4">
        <f t="shared" si="135"/>
        <v>0.39317952822966551</v>
      </c>
      <c r="AO127" s="8">
        <f t="shared" si="143"/>
        <v>0.95256227575390817</v>
      </c>
      <c r="AP127" s="8">
        <f t="shared" si="144"/>
        <v>3.2420368915663564E-2</v>
      </c>
      <c r="AQ127" s="8">
        <f t="shared" si="145"/>
        <v>6.387972207445654E-3</v>
      </c>
      <c r="AR127" s="8">
        <f t="shared" si="146"/>
        <v>2.2721878573347151E-3</v>
      </c>
      <c r="AS127" s="8">
        <f t="shared" si="147"/>
        <v>3.540514160632273E-4</v>
      </c>
      <c r="AT127" s="8">
        <f t="shared" si="148"/>
        <v>1.27632987686541E-3</v>
      </c>
    </row>
    <row r="128" spans="1:46" x14ac:dyDescent="0.25">
      <c r="A128">
        <f t="shared" si="65"/>
        <v>124</v>
      </c>
      <c r="B128" s="3">
        <f t="shared" si="171"/>
        <v>42972</v>
      </c>
      <c r="C128" s="4">
        <v>5.2499999999999998E-2</v>
      </c>
      <c r="D128">
        <v>2007</v>
      </c>
      <c r="E128" s="2">
        <v>37214174.049999997</v>
      </c>
      <c r="G128" s="5">
        <f t="shared" si="136"/>
        <v>0.41349082277777777</v>
      </c>
      <c r="H128" s="2">
        <f t="shared" si="137"/>
        <v>130279.44124131082</v>
      </c>
      <c r="I128" s="2">
        <v>138742.18</v>
      </c>
      <c r="J128" s="2"/>
      <c r="K128" s="2"/>
      <c r="L128" s="2"/>
      <c r="M128" s="2"/>
      <c r="N128" s="2"/>
      <c r="O128" s="2"/>
      <c r="P128" s="36">
        <v>7</v>
      </c>
      <c r="Q128" s="6">
        <f t="shared" si="138"/>
        <v>3.7014441486473643E-3</v>
      </c>
      <c r="R128" s="6">
        <f t="shared" si="165"/>
        <v>4.3524148669491614E-2</v>
      </c>
      <c r="S128" s="6">
        <f t="shared" si="166"/>
        <v>3.6796919414394925E-2</v>
      </c>
      <c r="T128" s="6">
        <f t="shared" si="167"/>
        <v>6.0717934494130051E-2</v>
      </c>
      <c r="U128" s="6">
        <f t="shared" si="168"/>
        <v>7.1515258825392322E-2</v>
      </c>
      <c r="V128" s="2">
        <v>0</v>
      </c>
      <c r="W128" s="2">
        <v>35645444</v>
      </c>
      <c r="X128" s="2">
        <v>998833</v>
      </c>
      <c r="Y128" s="2">
        <v>337783</v>
      </c>
      <c r="Z128" s="2">
        <v>27224</v>
      </c>
      <c r="AA128" s="2">
        <v>0</v>
      </c>
      <c r="AB128" s="2">
        <v>0</v>
      </c>
      <c r="AC128" s="2">
        <v>27716.45</v>
      </c>
      <c r="AD128" s="2">
        <f t="shared" ref="AD128" si="172">+AD127+AC128</f>
        <v>1694563.61</v>
      </c>
      <c r="AE128" s="4">
        <f t="shared" si="163"/>
        <v>1.8828484555555556E-2</v>
      </c>
      <c r="AF128" s="2">
        <v>22719091.940000001</v>
      </c>
      <c r="AG128" s="5">
        <f t="shared" si="164"/>
        <v>0.29873888152531231</v>
      </c>
      <c r="AH128" s="2">
        <f t="shared" si="58"/>
        <v>21822875.295424066</v>
      </c>
      <c r="AI128" s="2">
        <f t="shared" si="109"/>
        <v>13950000</v>
      </c>
      <c r="AJ128" s="5">
        <f t="shared" si="125"/>
        <v>1</v>
      </c>
      <c r="AK128" s="4">
        <f t="shared" si="134"/>
        <v>0.61049566515906595</v>
      </c>
      <c r="AL128" s="9">
        <v>263416.95</v>
      </c>
      <c r="AM128" s="4">
        <f t="shared" si="135"/>
        <v>0.39658273861381044</v>
      </c>
      <c r="AO128" s="8">
        <f t="shared" si="143"/>
        <v>0.95784589904125528</v>
      </c>
      <c r="AP128" s="8">
        <f t="shared" si="144"/>
        <v>2.6840122762310778E-2</v>
      </c>
      <c r="AQ128" s="8">
        <f t="shared" si="145"/>
        <v>9.0767297306172511E-3</v>
      </c>
      <c r="AR128" s="8">
        <f t="shared" si="146"/>
        <v>7.3154922002091301E-4</v>
      </c>
      <c r="AS128" s="8">
        <f t="shared" si="147"/>
        <v>0</v>
      </c>
      <c r="AT128" s="8">
        <f t="shared" si="148"/>
        <v>0</v>
      </c>
    </row>
    <row r="129" spans="1:46" x14ac:dyDescent="0.25">
      <c r="A129">
        <f t="shared" si="65"/>
        <v>125</v>
      </c>
      <c r="B129" s="3">
        <f t="shared" si="171"/>
        <v>43003</v>
      </c>
      <c r="C129" s="4">
        <v>5.2499999999999998E-2</v>
      </c>
      <c r="D129">
        <v>1992</v>
      </c>
      <c r="E129" s="2">
        <v>36789389.219999999</v>
      </c>
      <c r="G129" s="5">
        <f t="shared" si="136"/>
        <v>0.40877099133333333</v>
      </c>
      <c r="H129" s="2">
        <f t="shared" si="137"/>
        <v>278132.84043348278</v>
      </c>
      <c r="I129" s="2">
        <v>243869.07</v>
      </c>
      <c r="J129" s="2"/>
      <c r="K129" s="2"/>
      <c r="L129" s="2"/>
      <c r="M129" s="2"/>
      <c r="N129" s="2"/>
      <c r="O129" s="2"/>
      <c r="P129" s="36">
        <v>15</v>
      </c>
      <c r="Q129" s="6">
        <f t="shared" si="138"/>
        <v>6.5531232715885044E-3</v>
      </c>
      <c r="R129" s="6">
        <f t="shared" si="165"/>
        <v>7.5864220867045362E-2</v>
      </c>
      <c r="S129" s="6">
        <f t="shared" si="166"/>
        <v>4.9432121225227922E-2</v>
      </c>
      <c r="T129" s="6">
        <f t="shared" si="167"/>
        <v>5.9519457813019296E-2</v>
      </c>
      <c r="U129" s="6">
        <f t="shared" si="168"/>
        <v>6.9387177939533029E-2</v>
      </c>
      <c r="V129" s="2">
        <v>0</v>
      </c>
      <c r="W129" s="2">
        <v>35503562</v>
      </c>
      <c r="X129" s="2">
        <v>733010</v>
      </c>
      <c r="Y129" s="2">
        <v>297421</v>
      </c>
      <c r="Z129" s="2">
        <v>50505</v>
      </c>
      <c r="AA129" s="2">
        <v>0</v>
      </c>
      <c r="AB129" s="2">
        <v>0</v>
      </c>
      <c r="AC129" s="2">
        <v>0</v>
      </c>
      <c r="AD129" s="2">
        <v>1694561.06</v>
      </c>
      <c r="AE129" s="4">
        <f t="shared" si="163"/>
        <v>1.8828456222222224E-2</v>
      </c>
      <c r="AF129" s="2">
        <v>22277162.57</v>
      </c>
      <c r="AG129" s="5">
        <f t="shared" si="164"/>
        <v>0.29292784444444447</v>
      </c>
      <c r="AH129" s="2">
        <f t="shared" si="58"/>
        <v>21398379.036666669</v>
      </c>
      <c r="AI129" s="2">
        <f t="shared" si="109"/>
        <v>13950000</v>
      </c>
      <c r="AJ129" s="5">
        <f t="shared" si="125"/>
        <v>1</v>
      </c>
      <c r="AK129" s="4">
        <f t="shared" si="134"/>
        <v>0.60553227553691913</v>
      </c>
      <c r="AL129" s="9">
        <v>251798.12</v>
      </c>
      <c r="AM129" s="4">
        <f t="shared" si="135"/>
        <v>0.40131203814532912</v>
      </c>
      <c r="AO129" s="8">
        <f t="shared" si="143"/>
        <v>0.96504896527879902</v>
      </c>
      <c r="AP129" s="8">
        <f t="shared" si="144"/>
        <v>1.9924494957407723E-2</v>
      </c>
      <c r="AQ129" s="8">
        <f t="shared" si="145"/>
        <v>8.084423424956225E-3</v>
      </c>
      <c r="AR129" s="8">
        <f t="shared" si="146"/>
        <v>1.3728143106149671E-3</v>
      </c>
      <c r="AS129" s="8">
        <f t="shared" si="147"/>
        <v>0</v>
      </c>
      <c r="AT129" s="8">
        <f t="shared" si="148"/>
        <v>0</v>
      </c>
    </row>
    <row r="130" spans="1:46" x14ac:dyDescent="0.25">
      <c r="A130">
        <f t="shared" si="65"/>
        <v>126</v>
      </c>
      <c r="B130" s="3">
        <f t="shared" si="171"/>
        <v>43034</v>
      </c>
      <c r="C130" s="4">
        <v>5.2499999999999998E-2</v>
      </c>
      <c r="D130">
        <v>1982</v>
      </c>
      <c r="E130" s="2">
        <v>36474865.100000001</v>
      </c>
      <c r="G130" s="5">
        <f t="shared" si="136"/>
        <v>0.4052762788888889</v>
      </c>
      <c r="H130" s="2">
        <f t="shared" si="137"/>
        <v>184685.68885542167</v>
      </c>
      <c r="I130" s="2">
        <v>135532.32</v>
      </c>
      <c r="J130" s="2"/>
      <c r="K130" s="2"/>
      <c r="L130" s="2"/>
      <c r="M130" s="2"/>
      <c r="N130" s="2"/>
      <c r="O130" s="2"/>
      <c r="P130" s="36">
        <v>10</v>
      </c>
      <c r="Q130" s="6">
        <f t="shared" si="138"/>
        <v>3.6840057112532843E-3</v>
      </c>
      <c r="R130" s="6">
        <f t="shared" si="165"/>
        <v>4.3323232388638444E-2</v>
      </c>
      <c r="S130" s="6">
        <f t="shared" si="166"/>
        <v>5.4237200641725138E-2</v>
      </c>
      <c r="T130" s="6">
        <f t="shared" si="167"/>
        <v>5.5559316765528916E-2</v>
      </c>
      <c r="U130" s="6">
        <f t="shared" si="168"/>
        <v>6.5112909438665295E-2</v>
      </c>
      <c r="V130" s="2">
        <v>2366.4699999999998</v>
      </c>
      <c r="W130" s="2">
        <v>35132931</v>
      </c>
      <c r="X130" s="2">
        <v>881951</v>
      </c>
      <c r="Y130" s="2">
        <v>243757</v>
      </c>
      <c r="Z130" s="2">
        <v>37596</v>
      </c>
      <c r="AA130" s="2">
        <v>0</v>
      </c>
      <c r="AB130" s="2">
        <v>0</v>
      </c>
      <c r="AC130" s="2">
        <v>0</v>
      </c>
      <c r="AD130" s="2">
        <v>1694561.06</v>
      </c>
      <c r="AE130" s="4">
        <f t="shared" si="163"/>
        <v>1.8828456222222224E-2</v>
      </c>
      <c r="AF130" s="2">
        <v>21921870.199999999</v>
      </c>
      <c r="AG130" s="5">
        <f t="shared" si="164"/>
        <v>0.28825601840894149</v>
      </c>
      <c r="AH130" s="2">
        <f t="shared" si="58"/>
        <v>21057102.144773174</v>
      </c>
      <c r="AI130" s="2">
        <f t="shared" si="109"/>
        <v>13950000</v>
      </c>
      <c r="AJ130" s="5">
        <f t="shared" si="125"/>
        <v>1</v>
      </c>
      <c r="AK130" s="4">
        <f t="shared" si="134"/>
        <v>0.60101305761923152</v>
      </c>
      <c r="AL130" s="9">
        <v>282544.51</v>
      </c>
      <c r="AM130" s="4">
        <f t="shared" si="135"/>
        <v>0.40673322216070384</v>
      </c>
      <c r="AO130" s="8">
        <f t="shared" si="143"/>
        <v>0.96320934714025852</v>
      </c>
      <c r="AP130" s="8">
        <f t="shared" si="144"/>
        <v>2.4179691894186058E-2</v>
      </c>
      <c r="AQ130" s="8">
        <f t="shared" si="145"/>
        <v>6.6828759840978818E-3</v>
      </c>
      <c r="AR130" s="8">
        <f t="shared" si="146"/>
        <v>1.0307371911294607E-3</v>
      </c>
      <c r="AS130" s="8">
        <f t="shared" si="147"/>
        <v>0</v>
      </c>
      <c r="AT130" s="8">
        <f t="shared" si="148"/>
        <v>0</v>
      </c>
    </row>
    <row r="131" spans="1:46" x14ac:dyDescent="0.25">
      <c r="A131">
        <f t="shared" si="65"/>
        <v>127</v>
      </c>
      <c r="B131" s="3">
        <f t="shared" si="171"/>
        <v>43065</v>
      </c>
      <c r="C131" s="4">
        <v>5.2499999999999998E-2</v>
      </c>
      <c r="D131">
        <v>1972</v>
      </c>
      <c r="E131" s="2">
        <v>36139414.149999999</v>
      </c>
      <c r="G131" s="5">
        <f t="shared" si="136"/>
        <v>0.40154904611111109</v>
      </c>
      <c r="H131" s="2">
        <f t="shared" si="137"/>
        <v>184030.6009081736</v>
      </c>
      <c r="I131" s="2">
        <v>145662.82</v>
      </c>
      <c r="J131" s="2"/>
      <c r="K131" s="2"/>
      <c r="L131" s="2"/>
      <c r="M131" s="2"/>
      <c r="N131" s="2"/>
      <c r="O131" s="2"/>
      <c r="P131" s="36">
        <v>10</v>
      </c>
      <c r="Q131" s="6">
        <f t="shared" si="138"/>
        <v>3.9935122337162532E-3</v>
      </c>
      <c r="R131" s="6">
        <f t="shared" si="165"/>
        <v>4.6883456068276708E-2</v>
      </c>
      <c r="S131" s="6">
        <f t="shared" si="166"/>
        <v>5.5356969774653507E-2</v>
      </c>
      <c r="T131" s="6">
        <f t="shared" si="167"/>
        <v>5.1889602955235314E-2</v>
      </c>
      <c r="U131" s="6">
        <f t="shared" si="168"/>
        <v>6.3273766083000629E-2</v>
      </c>
      <c r="V131" s="2">
        <v>0</v>
      </c>
      <c r="W131" s="2">
        <v>35069897</v>
      </c>
      <c r="X131" s="2">
        <v>727014</v>
      </c>
      <c r="Y131" s="2">
        <v>142951</v>
      </c>
      <c r="Z131" s="2">
        <v>37488</v>
      </c>
      <c r="AA131" s="2">
        <v>0</v>
      </c>
      <c r="AB131" s="2">
        <v>0</v>
      </c>
      <c r="AC131" s="2">
        <v>0</v>
      </c>
      <c r="AD131" s="2">
        <v>1694561.06</v>
      </c>
      <c r="AE131" s="4">
        <f t="shared" si="163"/>
        <v>1.8828456222222224E-2</v>
      </c>
      <c r="AF131" s="2">
        <v>21593516.899999999</v>
      </c>
      <c r="AG131" s="5">
        <f t="shared" si="164"/>
        <v>0.28393842077580539</v>
      </c>
      <c r="AH131" s="2">
        <f t="shared" si="58"/>
        <v>20741701.637672585</v>
      </c>
      <c r="AI131" s="2">
        <f t="shared" si="109"/>
        <v>13950000</v>
      </c>
      <c r="AJ131" s="5">
        <f t="shared" si="125"/>
        <v>1</v>
      </c>
      <c r="AK131" s="4">
        <f t="shared" si="134"/>
        <v>0.59750600301305656</v>
      </c>
      <c r="AL131" s="9">
        <v>251871.17</v>
      </c>
      <c r="AM131" s="4">
        <f t="shared" si="135"/>
        <v>0.40946342844907468</v>
      </c>
      <c r="AO131" s="8">
        <f t="shared" si="143"/>
        <v>0.97040579723952169</v>
      </c>
      <c r="AP131" s="8">
        <f t="shared" si="144"/>
        <v>2.0116928209806081E-2</v>
      </c>
      <c r="AQ131" s="8">
        <f t="shared" si="145"/>
        <v>3.9555428155716244E-3</v>
      </c>
      <c r="AR131" s="8">
        <f t="shared" si="146"/>
        <v>1.0373162067432132E-3</v>
      </c>
      <c r="AS131" s="8">
        <f t="shared" si="147"/>
        <v>0</v>
      </c>
      <c r="AT131" s="8">
        <f t="shared" si="148"/>
        <v>0</v>
      </c>
    </row>
    <row r="132" spans="1:46" x14ac:dyDescent="0.25">
      <c r="A132">
        <f t="shared" si="65"/>
        <v>128</v>
      </c>
      <c r="B132" s="3">
        <f t="shared" si="171"/>
        <v>43096</v>
      </c>
      <c r="C132" s="4">
        <v>5.2499999999999998E-2</v>
      </c>
      <c r="D132">
        <v>1968</v>
      </c>
      <c r="E132" s="2">
        <v>35945133.229999997</v>
      </c>
      <c r="G132" s="5">
        <f t="shared" si="136"/>
        <v>0.39939036922222221</v>
      </c>
      <c r="H132" s="2">
        <f t="shared" si="137"/>
        <v>73305.099695740355</v>
      </c>
      <c r="I132" s="2">
        <v>78106.69</v>
      </c>
      <c r="J132" s="2"/>
      <c r="K132" s="2"/>
      <c r="L132" s="2"/>
      <c r="M132" s="2"/>
      <c r="N132" s="2"/>
      <c r="O132" s="2"/>
      <c r="P132" s="36">
        <v>4</v>
      </c>
      <c r="Q132" s="6">
        <f t="shared" si="138"/>
        <v>2.1612605471635739E-3</v>
      </c>
      <c r="R132" s="6">
        <f t="shared" si="165"/>
        <v>2.5629047667872884E-2</v>
      </c>
      <c r="S132" s="6">
        <f t="shared" si="166"/>
        <v>3.861191204159601E-2</v>
      </c>
      <c r="T132" s="6">
        <f t="shared" si="167"/>
        <v>5.0393842000568394E-2</v>
      </c>
      <c r="U132" s="6">
        <f t="shared" si="168"/>
        <v>6.0880996603476643E-2</v>
      </c>
      <c r="V132" s="2"/>
      <c r="W132" s="2">
        <v>34810269</v>
      </c>
      <c r="X132" s="2">
        <v>837462</v>
      </c>
      <c r="Y132" s="2">
        <v>84358</v>
      </c>
      <c r="Z132" s="2">
        <v>30722</v>
      </c>
      <c r="AA132" s="2">
        <v>20257</v>
      </c>
      <c r="AB132" s="2">
        <v>0</v>
      </c>
      <c r="AC132" s="2">
        <v>0</v>
      </c>
      <c r="AD132" s="2">
        <v>1694561.06</v>
      </c>
      <c r="AE132" s="4">
        <f t="shared" si="163"/>
        <v>1.8828456222222224E-2</v>
      </c>
      <c r="AF132" s="2">
        <v>21365885.77</v>
      </c>
      <c r="AG132" s="5">
        <f t="shared" si="164"/>
        <v>0.28094524352399736</v>
      </c>
      <c r="AH132" s="2">
        <f t="shared" si="58"/>
        <v>20523050.039428007</v>
      </c>
      <c r="AI132" s="2">
        <f t="shared" si="109"/>
        <v>13950000</v>
      </c>
      <c r="AJ132" s="5">
        <f t="shared" si="125"/>
        <v>1</v>
      </c>
      <c r="AK132" s="4">
        <f t="shared" ref="AK132:AK149" si="173">+AF132/E132</f>
        <v>0.59440274245994218</v>
      </c>
      <c r="AL132" s="9">
        <v>264377.76</v>
      </c>
      <c r="AM132" s="4">
        <f t="shared" ref="AM132:AM149" si="174">1-(+AF132-AL132)/E132</f>
        <v>0.41295229384798693</v>
      </c>
      <c r="AO132" s="8">
        <f t="shared" si="143"/>
        <v>0.96842787526371354</v>
      </c>
      <c r="AP132" s="8">
        <f t="shared" si="144"/>
        <v>2.3298341798912846E-2</v>
      </c>
      <c r="AQ132" s="8">
        <f t="shared" si="145"/>
        <v>2.3468545647118196E-3</v>
      </c>
      <c r="AR132" s="8">
        <f t="shared" si="146"/>
        <v>8.546915045055184E-4</v>
      </c>
      <c r="AS132" s="8">
        <f t="shared" si="147"/>
        <v>5.6355334310163028E-4</v>
      </c>
      <c r="AT132" s="8">
        <f t="shared" si="148"/>
        <v>0</v>
      </c>
    </row>
    <row r="133" spans="1:46" x14ac:dyDescent="0.25">
      <c r="A133">
        <f t="shared" si="65"/>
        <v>129</v>
      </c>
      <c r="B133" s="3">
        <f t="shared" si="171"/>
        <v>43127</v>
      </c>
      <c r="C133" s="4">
        <v>5.2499999999999998E-2</v>
      </c>
      <c r="D133">
        <v>1964</v>
      </c>
      <c r="E133" s="2">
        <v>35717834.659999996</v>
      </c>
      <c r="G133" s="5">
        <f t="shared" ref="G133:G149" si="175">+E133/$E$4</f>
        <v>0.39686482955555552</v>
      </c>
      <c r="H133" s="2">
        <f t="shared" ref="H133:H149" si="176">+E132/D132*P133</f>
        <v>73059.213882113821</v>
      </c>
      <c r="I133" s="2">
        <v>89251.08</v>
      </c>
      <c r="J133" s="2"/>
      <c r="K133" s="2"/>
      <c r="L133" s="2"/>
      <c r="M133" s="2"/>
      <c r="N133" s="2"/>
      <c r="O133" s="2"/>
      <c r="P133" s="36">
        <v>4</v>
      </c>
      <c r="Q133" s="6">
        <f t="shared" ref="Q133:Q147" si="177">IF(I133&gt;0,I133,+H133)/E132</f>
        <v>2.482980920641312E-3</v>
      </c>
      <c r="R133" s="6">
        <f t="shared" si="165"/>
        <v>2.939221725994956E-2</v>
      </c>
      <c r="S133" s="6">
        <f t="shared" si="166"/>
        <v>3.3968240332033051E-2</v>
      </c>
      <c r="T133" s="6">
        <f t="shared" si="167"/>
        <v>4.6912709503921159E-2</v>
      </c>
      <c r="U133" s="6">
        <f t="shared" si="168"/>
        <v>5.8390298994530757E-2</v>
      </c>
      <c r="V133" s="2">
        <v>0</v>
      </c>
      <c r="W133" s="2">
        <v>34782001</v>
      </c>
      <c r="X133" s="2">
        <v>622691</v>
      </c>
      <c r="Y133" s="2">
        <v>130821</v>
      </c>
      <c r="Z133" s="2">
        <v>0</v>
      </c>
      <c r="AA133" s="2">
        <v>20257</v>
      </c>
      <c r="AB133" s="2"/>
      <c r="AC133" s="2">
        <v>-2898.54</v>
      </c>
      <c r="AD133" s="2">
        <v>1694561.06</v>
      </c>
      <c r="AE133" s="4">
        <f t="shared" si="163"/>
        <v>1.8828456222222224E-2</v>
      </c>
      <c r="AF133" s="2">
        <v>21015096.329999998</v>
      </c>
      <c r="AG133" s="5">
        <f t="shared" si="164"/>
        <v>0.27633262761341221</v>
      </c>
      <c r="AH133" s="2">
        <f t="shared" ref="AH133:AH149" si="178">+$AH$2*AF133</f>
        <v>20186098.447159763</v>
      </c>
      <c r="AI133" s="2">
        <f t="shared" si="109"/>
        <v>13950000</v>
      </c>
      <c r="AJ133" s="5">
        <f t="shared" si="125"/>
        <v>1</v>
      </c>
      <c r="AK133" s="4">
        <f t="shared" si="173"/>
        <v>0.58836423120393044</v>
      </c>
      <c r="AL133" s="9">
        <v>244141.7</v>
      </c>
      <c r="AM133" s="4">
        <f t="shared" si="174"/>
        <v>0.41847105717018285</v>
      </c>
      <c r="AO133" s="8">
        <f t="shared" si="143"/>
        <v>0.97379926110000092</v>
      </c>
      <c r="AP133" s="8">
        <f t="shared" si="144"/>
        <v>1.7433615613248379E-2</v>
      </c>
      <c r="AQ133" s="8">
        <f t="shared" si="145"/>
        <v>3.6626240432907592E-3</v>
      </c>
      <c r="AR133" s="8">
        <f t="shared" si="146"/>
        <v>0</v>
      </c>
      <c r="AS133" s="8">
        <f t="shared" si="147"/>
        <v>5.6713964306144202E-4</v>
      </c>
      <c r="AT133" s="8">
        <f t="shared" si="148"/>
        <v>0</v>
      </c>
    </row>
    <row r="134" spans="1:46" x14ac:dyDescent="0.25">
      <c r="A134">
        <f t="shared" ref="A134:A184" si="179">+A133+1</f>
        <v>130</v>
      </c>
      <c r="B134" s="3">
        <f t="shared" si="171"/>
        <v>43158</v>
      </c>
      <c r="C134" s="4">
        <v>5.2499999999999998E-2</v>
      </c>
      <c r="D134">
        <v>1959</v>
      </c>
      <c r="E134" s="2">
        <v>35503119.079999998</v>
      </c>
      <c r="G134" s="5">
        <f t="shared" si="175"/>
        <v>0.39447910088888888</v>
      </c>
      <c r="H134" s="2">
        <f t="shared" si="176"/>
        <v>90931.35096741344</v>
      </c>
      <c r="I134">
        <v>87582.64</v>
      </c>
      <c r="P134" s="36">
        <v>5</v>
      </c>
      <c r="Q134" s="6">
        <f t="shared" si="177"/>
        <v>2.4520702566016078E-3</v>
      </c>
      <c r="R134" s="6">
        <f t="shared" si="165"/>
        <v>2.9031234006222761E-2</v>
      </c>
      <c r="S134" s="6">
        <f t="shared" si="166"/>
        <v>2.8017499644681736E-2</v>
      </c>
      <c r="T134" s="6">
        <f t="shared" si="167"/>
        <v>4.2375563684658224E-2</v>
      </c>
      <c r="U134" s="6">
        <f t="shared" si="168"/>
        <v>5.4374367899309245E-2</v>
      </c>
      <c r="V134" s="2">
        <v>0</v>
      </c>
      <c r="W134" s="2">
        <v>34565112</v>
      </c>
      <c r="X134" s="2">
        <v>530497</v>
      </c>
      <c r="Y134" s="2">
        <v>188082</v>
      </c>
      <c r="Z134" s="2">
        <v>37106</v>
      </c>
      <c r="AA134" s="2">
        <v>20257</v>
      </c>
      <c r="AB134" s="2">
        <v>0</v>
      </c>
      <c r="AC134" s="2">
        <v>-1075.33</v>
      </c>
      <c r="AD134" s="2">
        <v>1694561.06</v>
      </c>
      <c r="AE134" s="4">
        <f t="shared" si="163"/>
        <v>1.8828456222222224E-2</v>
      </c>
      <c r="AF134" s="2">
        <v>20741040.890000001</v>
      </c>
      <c r="AG134" s="5">
        <f t="shared" si="164"/>
        <v>0.27272900578566733</v>
      </c>
      <c r="AH134" s="2">
        <f t="shared" si="178"/>
        <v>19922853.872642998</v>
      </c>
      <c r="AI134" s="2">
        <f t="shared" si="109"/>
        <v>13950000</v>
      </c>
      <c r="AJ134" s="5">
        <f t="shared" si="125"/>
        <v>1</v>
      </c>
      <c r="AK134" s="4">
        <f t="shared" si="173"/>
        <v>0.58420334402911855</v>
      </c>
      <c r="AL134" s="9">
        <v>233515.78</v>
      </c>
      <c r="AM134" s="4">
        <f t="shared" si="174"/>
        <v>0.42237398737305532</v>
      </c>
      <c r="AO134" s="8">
        <f t="shared" si="143"/>
        <v>0.97357958668683831</v>
      </c>
      <c r="AP134" s="8">
        <f t="shared" si="144"/>
        <v>1.4942264616374096E-2</v>
      </c>
      <c r="AQ134" s="8">
        <f t="shared" si="145"/>
        <v>5.2976190507710175E-3</v>
      </c>
      <c r="AR134" s="8">
        <f t="shared" si="146"/>
        <v>1.0451476084787986E-3</v>
      </c>
      <c r="AS134" s="8">
        <f t="shared" si="147"/>
        <v>5.7056958726230318E-4</v>
      </c>
      <c r="AT134" s="8">
        <f t="shared" si="148"/>
        <v>0</v>
      </c>
    </row>
    <row r="135" spans="1:46" x14ac:dyDescent="0.25">
      <c r="A135">
        <f t="shared" si="179"/>
        <v>131</v>
      </c>
      <c r="B135" s="3">
        <f t="shared" si="171"/>
        <v>43189</v>
      </c>
      <c r="C135" s="4">
        <v>5.2499999999999998E-2</v>
      </c>
      <c r="D135">
        <v>1953</v>
      </c>
      <c r="E135" s="2">
        <v>35260351.100000001</v>
      </c>
      <c r="G135" s="5">
        <f t="shared" si="175"/>
        <v>0.39178167888888893</v>
      </c>
      <c r="H135" s="2">
        <f t="shared" si="176"/>
        <v>108738.49641653904</v>
      </c>
      <c r="I135" s="2">
        <v>128623.95</v>
      </c>
      <c r="J135" s="2"/>
      <c r="K135" s="2"/>
      <c r="L135" s="2"/>
      <c r="M135" s="2"/>
      <c r="N135" s="2"/>
      <c r="O135" s="2"/>
      <c r="P135" s="36">
        <v>6</v>
      </c>
      <c r="Q135" s="6">
        <f t="shared" si="177"/>
        <v>3.6228915468009635E-3</v>
      </c>
      <c r="R135" s="6">
        <f t="shared" ref="R135" si="180">1-(+Q135-1)^12</f>
        <v>4.2618802502198183E-2</v>
      </c>
      <c r="S135" s="6">
        <f t="shared" ref="S135" si="181">AVERAGE(R133:R135)</f>
        <v>3.3680751256123499E-2</v>
      </c>
      <c r="T135" s="6">
        <f t="shared" ref="T135" si="182">AVERAGE(R124:R135)</f>
        <v>4.0570272238841937E-2</v>
      </c>
      <c r="U135" s="6">
        <f t="shared" ref="U135" si="183">AVERAGE(R118:R135)</f>
        <v>5.1728415758299451E-2</v>
      </c>
      <c r="V135" s="2">
        <v>0</v>
      </c>
      <c r="W135" s="2">
        <v>34176062</v>
      </c>
      <c r="X135" s="2">
        <v>625897</v>
      </c>
      <c r="Y135" s="2">
        <v>205648</v>
      </c>
      <c r="Z135" s="2">
        <v>70422</v>
      </c>
      <c r="AA135" s="2">
        <v>20257</v>
      </c>
      <c r="AB135" s="2">
        <v>0</v>
      </c>
      <c r="AC135" s="2">
        <v>0</v>
      </c>
      <c r="AD135" s="2">
        <v>1694561.06</v>
      </c>
      <c r="AE135" s="4">
        <f t="shared" si="163"/>
        <v>1.8828456222222224E-2</v>
      </c>
      <c r="AF135" s="2">
        <v>20443732.329999998</v>
      </c>
      <c r="AG135" s="5">
        <f t="shared" si="164"/>
        <v>0.26881962301117684</v>
      </c>
      <c r="AH135" s="2">
        <f t="shared" si="178"/>
        <v>19637273.460966468</v>
      </c>
      <c r="AI135" s="2">
        <f t="shared" si="109"/>
        <v>13950000</v>
      </c>
      <c r="AJ135" s="5">
        <f t="shared" si="125"/>
        <v>1</v>
      </c>
      <c r="AK135" s="4">
        <f t="shared" si="173"/>
        <v>0.57979378231432299</v>
      </c>
      <c r="AL135" s="9">
        <v>195419.49</v>
      </c>
      <c r="AM135" s="4">
        <f t="shared" si="174"/>
        <v>0.42574840555118587</v>
      </c>
      <c r="AO135" s="8">
        <f t="shared" si="143"/>
        <v>0.9692490554922466</v>
      </c>
      <c r="AP135" s="8">
        <f t="shared" si="144"/>
        <v>1.7750730791787267E-2</v>
      </c>
      <c r="AQ135" s="8">
        <f t="shared" si="145"/>
        <v>5.832273178924755E-3</v>
      </c>
      <c r="AR135" s="8">
        <f t="shared" si="146"/>
        <v>1.9972007595806382E-3</v>
      </c>
      <c r="AS135" s="8">
        <f t="shared" si="147"/>
        <v>5.7449796635745921E-4</v>
      </c>
      <c r="AT135" s="8">
        <f t="shared" si="148"/>
        <v>0</v>
      </c>
    </row>
    <row r="136" spans="1:46" x14ac:dyDescent="0.25">
      <c r="A136">
        <f t="shared" si="179"/>
        <v>132</v>
      </c>
      <c r="B136" s="3">
        <f t="shared" si="171"/>
        <v>43220</v>
      </c>
      <c r="C136" s="4">
        <v>5.5E-2</v>
      </c>
      <c r="D136">
        <v>1945</v>
      </c>
      <c r="E136" s="2">
        <v>34941114.630000003</v>
      </c>
      <c r="G136" s="5">
        <f t="shared" si="175"/>
        <v>0.38823460700000001</v>
      </c>
      <c r="H136" s="2">
        <f t="shared" si="176"/>
        <v>144435.64198668714</v>
      </c>
      <c r="I136" s="2">
        <v>158605.28</v>
      </c>
      <c r="J136" s="2"/>
      <c r="K136" s="2"/>
      <c r="L136" s="2"/>
      <c r="M136" s="2"/>
      <c r="N136" s="2"/>
      <c r="O136" s="2"/>
      <c r="P136" s="36">
        <v>8</v>
      </c>
      <c r="Q136" s="6">
        <f t="shared" si="177"/>
        <v>4.4981197025006367E-3</v>
      </c>
      <c r="R136" s="6">
        <f t="shared" ref="R136" si="184">1-(+Q136-1)^12</f>
        <v>5.2661874282596499E-2</v>
      </c>
      <c r="S136" s="6">
        <f t="shared" ref="S136" si="185">AVERAGE(R134:R136)</f>
        <v>4.1437303597005815E-2</v>
      </c>
      <c r="T136" s="6">
        <f t="shared" ref="T136" si="186">AVERAGE(R125:R136)</f>
        <v>4.2123488425032475E-2</v>
      </c>
      <c r="U136" s="6">
        <f t="shared" ref="U136" si="187">AVERAGE(R119:R136)</f>
        <v>4.9607135165192419E-2</v>
      </c>
      <c r="V136" s="2">
        <v>7768.7</v>
      </c>
      <c r="W136" s="2">
        <v>33807755</v>
      </c>
      <c r="X136" s="2">
        <v>753153</v>
      </c>
      <c r="Y136" s="2">
        <v>174015</v>
      </c>
      <c r="Z136" s="2">
        <v>44127</v>
      </c>
      <c r="AA136" s="2">
        <v>0</v>
      </c>
      <c r="AB136" s="2">
        <v>0</v>
      </c>
      <c r="AC136" s="2">
        <v>0</v>
      </c>
      <c r="AD136" s="2">
        <v>1694561.06</v>
      </c>
      <c r="AE136" s="4">
        <f t="shared" si="163"/>
        <v>1.8828456222222224E-2</v>
      </c>
      <c r="AF136" s="2">
        <v>20084493.66</v>
      </c>
      <c r="AG136" s="5">
        <f t="shared" si="164"/>
        <v>0.26409590611439843</v>
      </c>
      <c r="AH136" s="2">
        <f t="shared" si="178"/>
        <v>19292205.941656806</v>
      </c>
      <c r="AI136" s="2">
        <f t="shared" si="109"/>
        <v>13950000</v>
      </c>
      <c r="AJ136" s="5">
        <f t="shared" si="125"/>
        <v>1</v>
      </c>
      <c r="AK136" s="4">
        <f t="shared" si="173"/>
        <v>0.5748097584372911</v>
      </c>
      <c r="AL136" s="9">
        <v>231141.95</v>
      </c>
      <c r="AM136" s="4">
        <f t="shared" si="174"/>
        <v>0.43180542692378332</v>
      </c>
      <c r="AO136" s="8">
        <f t="shared" si="143"/>
        <v>0.96756372422570303</v>
      </c>
      <c r="AP136" s="8">
        <f t="shared" si="144"/>
        <v>2.1554921987329858E-2</v>
      </c>
      <c r="AQ136" s="8">
        <f t="shared" si="145"/>
        <v>4.9802360869905648E-3</v>
      </c>
      <c r="AR136" s="8">
        <f t="shared" si="146"/>
        <v>1.2628961745288203E-3</v>
      </c>
      <c r="AS136" s="8">
        <f t="shared" si="147"/>
        <v>0</v>
      </c>
      <c r="AT136" s="8">
        <f t="shared" si="148"/>
        <v>0</v>
      </c>
    </row>
    <row r="137" spans="1:46" x14ac:dyDescent="0.25">
      <c r="A137">
        <f t="shared" si="179"/>
        <v>133</v>
      </c>
      <c r="B137" s="3">
        <f t="shared" si="171"/>
        <v>43251</v>
      </c>
      <c r="C137" s="4">
        <v>5.5E-2</v>
      </c>
      <c r="D137">
        <v>1936</v>
      </c>
      <c r="E137" s="2">
        <v>34627934.850000001</v>
      </c>
      <c r="G137" s="5">
        <f t="shared" si="175"/>
        <v>0.38475483166666669</v>
      </c>
      <c r="H137" s="2">
        <f t="shared" si="176"/>
        <v>161681.25021593831</v>
      </c>
      <c r="I137" s="2">
        <v>140220.81</v>
      </c>
      <c r="J137" s="2"/>
      <c r="K137" s="2"/>
      <c r="L137" s="2"/>
      <c r="M137" s="2"/>
      <c r="N137" s="2"/>
      <c r="O137" s="2"/>
      <c r="P137" s="36">
        <v>9</v>
      </c>
      <c r="Q137" s="6">
        <f t="shared" si="177"/>
        <v>4.0130605873576848E-3</v>
      </c>
      <c r="R137" s="6">
        <f t="shared" ref="R137:R139" si="188">1-(+Q137-1)^12</f>
        <v>4.7107910607906534E-2</v>
      </c>
      <c r="S137" s="6">
        <f t="shared" ref="S137:S139" si="189">AVERAGE(R135:R137)</f>
        <v>4.7462862464233736E-2</v>
      </c>
      <c r="T137" s="6">
        <f t="shared" ref="T137:T139" si="190">AVERAGE(R126:R137)</f>
        <v>4.1908562824490979E-2</v>
      </c>
      <c r="U137" s="6">
        <f t="shared" ref="U137:U139" si="191">AVERAGE(R120:R137)</f>
        <v>4.7173128988309457E-2</v>
      </c>
      <c r="V137" s="2">
        <v>0</v>
      </c>
      <c r="W137" s="2">
        <v>33572591</v>
      </c>
      <c r="X137" s="2">
        <v>586508</v>
      </c>
      <c r="Y137" s="2">
        <v>242973</v>
      </c>
      <c r="Z137" s="2">
        <v>94696</v>
      </c>
      <c r="AA137" s="2">
        <v>0</v>
      </c>
      <c r="AB137" s="2">
        <v>0</v>
      </c>
      <c r="AC137" s="2">
        <v>0</v>
      </c>
      <c r="AD137" s="2">
        <v>1694561.06</v>
      </c>
      <c r="AE137" s="4">
        <f t="shared" ref="AE137:AE149" si="192">+AD137/$E$4</f>
        <v>1.8828456222222224E-2</v>
      </c>
      <c r="AF137" s="2">
        <v>19717837</v>
      </c>
      <c r="AG137" s="5">
        <f t="shared" ref="AG137:AG149" si="193">+AF137/$AF$4</f>
        <v>0.25927464825772517</v>
      </c>
      <c r="AH137" s="2">
        <f t="shared" si="178"/>
        <v>18940013.055226825</v>
      </c>
      <c r="AI137" s="2">
        <f t="shared" si="109"/>
        <v>13950000</v>
      </c>
      <c r="AJ137" s="5">
        <f t="shared" ref="AJ137:AJ149" si="194">+AI137/AI$4</f>
        <v>1</v>
      </c>
      <c r="AK137" s="4">
        <f t="shared" si="173"/>
        <v>0.5694199519957801</v>
      </c>
      <c r="AL137" s="9">
        <v>231645.34</v>
      </c>
      <c r="AM137" s="4">
        <f t="shared" si="174"/>
        <v>0.43726959911384955</v>
      </c>
      <c r="AO137" s="8">
        <f t="shared" ref="AO137:AO148" si="195">+W137/$E137</f>
        <v>0.96952333846729521</v>
      </c>
      <c r="AP137" s="8">
        <f t="shared" ref="AP137:AP143" si="196">+X137/$E137</f>
        <v>1.6937423572633295E-2</v>
      </c>
      <c r="AQ137" s="8">
        <f t="shared" ref="AQ137:AQ143" si="197">+Y137/$E137</f>
        <v>7.0166760175708253E-3</v>
      </c>
      <c r="AR137" s="8">
        <f t="shared" ref="AR137:AR143" si="198">+Z137/$E137</f>
        <v>2.7346707336201423E-3</v>
      </c>
      <c r="AS137" s="8">
        <f t="shared" ref="AS137:AS143" si="199">+AA137/$E137</f>
        <v>0</v>
      </c>
      <c r="AT137" s="8">
        <f t="shared" ref="AT137:AT143" si="200">+AB137/$E137</f>
        <v>0</v>
      </c>
    </row>
    <row r="138" spans="1:46" x14ac:dyDescent="0.25">
      <c r="A138">
        <f t="shared" si="179"/>
        <v>134</v>
      </c>
      <c r="B138" s="3">
        <f t="shared" ref="B138:B184" si="201">+B137+30</f>
        <v>43281</v>
      </c>
      <c r="C138" s="4">
        <v>5.5E-2</v>
      </c>
      <c r="D138">
        <v>1931</v>
      </c>
      <c r="E138" s="2">
        <v>34403839.850000001</v>
      </c>
      <c r="G138" s="5">
        <f t="shared" si="175"/>
        <v>0.38226488722222224</v>
      </c>
      <c r="H138" s="2">
        <f t="shared" si="176"/>
        <v>89431.649922520664</v>
      </c>
      <c r="I138" s="2">
        <v>103113.68</v>
      </c>
      <c r="J138" s="2"/>
      <c r="K138" s="2"/>
      <c r="L138" s="2"/>
      <c r="M138" s="2"/>
      <c r="N138" s="2"/>
      <c r="O138" s="2"/>
      <c r="P138" s="36">
        <v>5</v>
      </c>
      <c r="Q138" s="6">
        <f t="shared" si="177"/>
        <v>2.9777600208231877E-3</v>
      </c>
      <c r="R138" s="6">
        <f t="shared" si="188"/>
        <v>3.5153664773954763E-2</v>
      </c>
      <c r="S138" s="6">
        <f t="shared" si="189"/>
        <v>4.4974483221485929E-2</v>
      </c>
      <c r="T138" s="6">
        <f t="shared" si="190"/>
        <v>4.167481693610834E-2</v>
      </c>
      <c r="U138" s="6">
        <f t="shared" si="191"/>
        <v>4.6705100413313834E-2</v>
      </c>
      <c r="V138" s="2">
        <v>0</v>
      </c>
      <c r="W138" s="2">
        <v>33196243</v>
      </c>
      <c r="X138" s="2">
        <v>661219</v>
      </c>
      <c r="Y138" s="2">
        <v>133529</v>
      </c>
      <c r="Z138" s="2">
        <v>240865</v>
      </c>
      <c r="AA138" s="2">
        <v>41090</v>
      </c>
      <c r="AB138" s="2">
        <v>0</v>
      </c>
      <c r="AC138" s="2">
        <v>0</v>
      </c>
      <c r="AD138" s="2">
        <v>1694561.06</v>
      </c>
      <c r="AE138" s="4">
        <f t="shared" si="192"/>
        <v>1.8828456222222224E-2</v>
      </c>
      <c r="AF138" s="2">
        <v>19468574.02</v>
      </c>
      <c r="AG138" s="5">
        <f t="shared" si="193"/>
        <v>0.25599702853385931</v>
      </c>
      <c r="AH138" s="2">
        <f t="shared" si="178"/>
        <v>18700582.934398424</v>
      </c>
      <c r="AI138" s="2">
        <f t="shared" si="109"/>
        <v>13950000</v>
      </c>
      <c r="AJ138" s="5">
        <f t="shared" si="194"/>
        <v>1</v>
      </c>
      <c r="AK138" s="4">
        <f t="shared" si="173"/>
        <v>0.56588375323459716</v>
      </c>
      <c r="AL138" s="9">
        <v>258784.29</v>
      </c>
      <c r="AM138" s="4">
        <f t="shared" si="174"/>
        <v>0.44163820626551376</v>
      </c>
      <c r="AO138" s="8">
        <f t="shared" si="195"/>
        <v>0.96489935846506969</v>
      </c>
      <c r="AP138" s="8">
        <f t="shared" si="196"/>
        <v>1.9219337227556591E-2</v>
      </c>
      <c r="AQ138" s="8">
        <f t="shared" si="197"/>
        <v>3.8812237407854343E-3</v>
      </c>
      <c r="AR138" s="8">
        <f t="shared" si="198"/>
        <v>7.0011080463740737E-3</v>
      </c>
      <c r="AS138" s="8">
        <f t="shared" si="199"/>
        <v>1.1943434273369343E-3</v>
      </c>
      <c r="AT138" s="8">
        <f t="shared" si="200"/>
        <v>0</v>
      </c>
    </row>
    <row r="139" spans="1:46" x14ac:dyDescent="0.25">
      <c r="A139">
        <f t="shared" si="179"/>
        <v>135</v>
      </c>
      <c r="B139" s="3">
        <f t="shared" si="201"/>
        <v>43311</v>
      </c>
      <c r="C139" s="4">
        <v>5.5E-2</v>
      </c>
      <c r="D139">
        <v>1925</v>
      </c>
      <c r="E139" s="2">
        <v>34148468.149999999</v>
      </c>
      <c r="G139" s="5">
        <f t="shared" si="175"/>
        <v>0.37942742388888889</v>
      </c>
      <c r="H139" s="2">
        <f t="shared" si="176"/>
        <v>106899.55416882446</v>
      </c>
      <c r="I139" s="2">
        <v>105447.03</v>
      </c>
      <c r="J139" s="2"/>
      <c r="K139" s="2"/>
      <c r="L139" s="2"/>
      <c r="M139" s="2"/>
      <c r="N139" s="2"/>
      <c r="O139" s="2"/>
      <c r="P139" s="36">
        <v>6</v>
      </c>
      <c r="Q139" s="6">
        <f t="shared" si="177"/>
        <v>3.0649785157629721E-3</v>
      </c>
      <c r="R139" s="6">
        <f t="shared" si="188"/>
        <v>3.6166022954136845E-2</v>
      </c>
      <c r="S139" s="6">
        <f t="shared" si="189"/>
        <v>3.947586611199938E-2</v>
      </c>
      <c r="T139" s="6">
        <f t="shared" si="190"/>
        <v>4.2279652670690844E-2</v>
      </c>
      <c r="U139" s="6">
        <f t="shared" si="191"/>
        <v>4.4760667954114972E-2</v>
      </c>
      <c r="V139" s="2">
        <v>2919.07</v>
      </c>
      <c r="W139" s="2">
        <v>32749923</v>
      </c>
      <c r="X139" s="2">
        <v>826955</v>
      </c>
      <c r="Y139" s="2">
        <v>104500</v>
      </c>
      <c r="Z139" s="2">
        <v>22281</v>
      </c>
      <c r="AA139" s="2">
        <v>74825</v>
      </c>
      <c r="AB139" s="2">
        <v>41090</v>
      </c>
      <c r="AC139" s="2">
        <v>0</v>
      </c>
      <c r="AD139" s="2">
        <v>1694561.06</v>
      </c>
      <c r="AE139" s="4">
        <f t="shared" si="192"/>
        <v>1.8828456222222224E-2</v>
      </c>
      <c r="AF139" s="2">
        <v>19177219.219999999</v>
      </c>
      <c r="AG139" s="5">
        <f t="shared" si="193"/>
        <v>0.25216593320184089</v>
      </c>
      <c r="AH139" s="2">
        <f t="shared" si="178"/>
        <v>18420721.420394477</v>
      </c>
      <c r="AI139" s="2">
        <f t="shared" si="109"/>
        <v>13950000</v>
      </c>
      <c r="AJ139" s="5">
        <f t="shared" si="194"/>
        <v>1</v>
      </c>
      <c r="AK139" s="4">
        <f t="shared" si="173"/>
        <v>0.56158358658322427</v>
      </c>
      <c r="AL139" s="9">
        <v>224541.61</v>
      </c>
      <c r="AM139" s="4">
        <f t="shared" si="174"/>
        <v>0.4449918653232473</v>
      </c>
      <c r="AO139" s="8">
        <f t="shared" si="195"/>
        <v>0.95904515705194238</v>
      </c>
      <c r="AP139" s="8">
        <f t="shared" si="196"/>
        <v>2.4216459618848232E-2</v>
      </c>
      <c r="AQ139" s="8">
        <f t="shared" si="197"/>
        <v>3.060166550984806E-3</v>
      </c>
      <c r="AR139" s="8">
        <f t="shared" si="198"/>
        <v>6.5247436289466473E-4</v>
      </c>
      <c r="AS139" s="8">
        <f t="shared" si="199"/>
        <v>2.1911671021764413E-3</v>
      </c>
      <c r="AT139" s="8">
        <f t="shared" si="200"/>
        <v>1.2032750581814898E-3</v>
      </c>
    </row>
    <row r="140" spans="1:46" x14ac:dyDescent="0.25">
      <c r="A140">
        <f t="shared" si="179"/>
        <v>136</v>
      </c>
      <c r="B140" s="3">
        <f t="shared" si="201"/>
        <v>43341</v>
      </c>
      <c r="C140" s="4">
        <v>5.5E-2</v>
      </c>
      <c r="D140">
        <v>1914</v>
      </c>
      <c r="E140" s="2">
        <v>33842461.210000001</v>
      </c>
      <c r="G140" s="5">
        <f t="shared" si="175"/>
        <v>0.37602734677777777</v>
      </c>
      <c r="H140" s="2">
        <f t="shared" si="176"/>
        <v>195134.10371428571</v>
      </c>
      <c r="I140" s="2">
        <v>155052.76999999999</v>
      </c>
      <c r="J140" s="2"/>
      <c r="K140" s="2"/>
      <c r="L140" s="2"/>
      <c r="M140" s="2"/>
      <c r="N140" s="2"/>
      <c r="O140" s="2"/>
      <c r="P140" s="36">
        <v>11</v>
      </c>
      <c r="Q140" s="6">
        <f t="shared" si="177"/>
        <v>4.54054832910565E-3</v>
      </c>
      <c r="R140" s="6">
        <f t="shared" ref="R140" si="202">1-(+Q140-1)^12</f>
        <v>5.3146271177006876E-2</v>
      </c>
      <c r="S140" s="6">
        <f t="shared" ref="S140" si="203">AVERAGE(R138:R140)</f>
        <v>4.1488652968366159E-2</v>
      </c>
      <c r="T140" s="6">
        <f t="shared" ref="T140" si="204">AVERAGE(R129:R140)</f>
        <v>4.3081496212983787E-2</v>
      </c>
      <c r="U140" s="6">
        <f t="shared" ref="U140" si="205">AVERAGE(R123:R140)</f>
        <v>4.3075628361872134E-2</v>
      </c>
      <c r="V140" s="2">
        <v>0</v>
      </c>
      <c r="W140" s="2">
        <v>32712294</v>
      </c>
      <c r="X140" s="2">
        <v>575608</v>
      </c>
      <c r="Y140" s="2">
        <v>241476</v>
      </c>
      <c r="Z140" s="2">
        <v>56440</v>
      </c>
      <c r="AA140" s="2">
        <v>76753</v>
      </c>
      <c r="AB140" s="2">
        <v>48995</v>
      </c>
      <c r="AC140" s="2">
        <v>0</v>
      </c>
      <c r="AD140" s="2">
        <v>1694561.06</v>
      </c>
      <c r="AE140" s="4">
        <f t="shared" si="192"/>
        <v>1.8828456222222224E-2</v>
      </c>
      <c r="AF140" s="2">
        <v>18832828.379999999</v>
      </c>
      <c r="AG140" s="5">
        <f t="shared" si="193"/>
        <v>0.24763745404339249</v>
      </c>
      <c r="AH140" s="2">
        <f t="shared" si="178"/>
        <v>18089916.017869823</v>
      </c>
      <c r="AI140" s="2">
        <f t="shared" si="109"/>
        <v>13950000</v>
      </c>
      <c r="AJ140" s="5">
        <f t="shared" si="194"/>
        <v>1</v>
      </c>
      <c r="AK140" s="4">
        <f t="shared" si="173"/>
        <v>0.55648518773909816</v>
      </c>
      <c r="AL140" s="9">
        <v>228808.2</v>
      </c>
      <c r="AM140" s="4">
        <f t="shared" si="174"/>
        <v>0.45027579216068492</v>
      </c>
      <c r="AO140" s="8">
        <f t="shared" si="195"/>
        <v>0.96660505265893448</v>
      </c>
      <c r="AP140" s="8">
        <f t="shared" si="196"/>
        <v>1.7008455632946562E-2</v>
      </c>
      <c r="AQ140" s="8">
        <f t="shared" si="197"/>
        <v>7.1352966470608539E-3</v>
      </c>
      <c r="AR140" s="8">
        <f t="shared" si="198"/>
        <v>1.6677274046286777E-3</v>
      </c>
      <c r="AS140" s="8">
        <f t="shared" si="199"/>
        <v>2.26794970743205E-3</v>
      </c>
      <c r="AT140" s="8">
        <f t="shared" si="200"/>
        <v>1.4477374945035802E-3</v>
      </c>
    </row>
    <row r="141" spans="1:46" x14ac:dyDescent="0.25">
      <c r="A141">
        <f t="shared" si="179"/>
        <v>137</v>
      </c>
      <c r="B141" s="3">
        <f t="shared" si="201"/>
        <v>43371</v>
      </c>
      <c r="C141" s="4">
        <v>5.5E-2</v>
      </c>
      <c r="D141">
        <v>1900</v>
      </c>
      <c r="E141" s="2">
        <v>33420841.120000001</v>
      </c>
      <c r="G141" s="5">
        <f t="shared" si="175"/>
        <v>0.37134267911111113</v>
      </c>
      <c r="H141" s="2">
        <f t="shared" si="176"/>
        <v>247541.51355276906</v>
      </c>
      <c r="I141" s="2">
        <v>290600.15999999997</v>
      </c>
      <c r="J141" s="2"/>
      <c r="K141" s="2"/>
      <c r="L141" s="2"/>
      <c r="M141" s="2"/>
      <c r="N141" s="2"/>
      <c r="O141" s="2"/>
      <c r="P141" s="36">
        <v>14</v>
      </c>
      <c r="Q141" s="6">
        <f t="shared" si="177"/>
        <v>8.5868506488568121E-3</v>
      </c>
      <c r="R141" s="6">
        <f t="shared" ref="R141" si="206">1-(+Q141-1)^12</f>
        <v>9.8312400389686139E-2</v>
      </c>
      <c r="S141" s="6">
        <f t="shared" ref="S141" si="207">AVERAGE(R139:R141)</f>
        <v>6.254156484027662E-2</v>
      </c>
      <c r="T141" s="6">
        <f t="shared" ref="T141" si="208">AVERAGE(R130:R141)</f>
        <v>4.4952177839870516E-2</v>
      </c>
      <c r="U141" s="6">
        <f t="shared" ref="U141" si="209">AVERAGE(R124:R141)</f>
        <v>4.4966189502855053E-2</v>
      </c>
      <c r="V141" s="2">
        <v>0</v>
      </c>
      <c r="W141" s="2">
        <v>32214530</v>
      </c>
      <c r="X141" s="2">
        <v>626148</v>
      </c>
      <c r="Y141" s="2">
        <v>275419</v>
      </c>
      <c r="Z141" s="2">
        <v>102217</v>
      </c>
      <c r="AA141" s="2">
        <v>57904</v>
      </c>
      <c r="AB141" s="2">
        <v>24926</v>
      </c>
      <c r="AC141" s="2">
        <v>0</v>
      </c>
      <c r="AD141" s="2">
        <v>1694561.06</v>
      </c>
      <c r="AE141" s="4">
        <f t="shared" si="192"/>
        <v>1.8828456222222224E-2</v>
      </c>
      <c r="AF141" s="2">
        <v>18374412.879999999</v>
      </c>
      <c r="AG141" s="5">
        <f t="shared" si="193"/>
        <v>0.24160963681788294</v>
      </c>
      <c r="AH141" s="2">
        <f t="shared" si="178"/>
        <v>17649583.969546352</v>
      </c>
      <c r="AI141" s="2">
        <f t="shared" si="109"/>
        <v>13950000</v>
      </c>
      <c r="AJ141" s="5">
        <f t="shared" si="194"/>
        <v>1</v>
      </c>
      <c r="AK141" s="4">
        <f t="shared" si="173"/>
        <v>0.54978906168235897</v>
      </c>
      <c r="AL141" s="9">
        <v>247169.1</v>
      </c>
      <c r="AM141" s="4">
        <f t="shared" si="174"/>
        <v>0.45760659598862907</v>
      </c>
      <c r="AO141" s="8">
        <f t="shared" si="195"/>
        <v>0.96390542309606597</v>
      </c>
      <c r="AP141" s="8">
        <f t="shared" si="196"/>
        <v>1.873525557755322E-2</v>
      </c>
      <c r="AQ141" s="8">
        <f t="shared" si="197"/>
        <v>8.2409356189177795E-3</v>
      </c>
      <c r="AR141" s="8">
        <f t="shared" si="198"/>
        <v>3.0584807735084315E-3</v>
      </c>
      <c r="AS141" s="8">
        <f t="shared" si="199"/>
        <v>1.732571594834834E-3</v>
      </c>
      <c r="AT141" s="8">
        <f t="shared" si="200"/>
        <v>7.4582204291332333E-4</v>
      </c>
    </row>
    <row r="142" spans="1:46" x14ac:dyDescent="0.25">
      <c r="A142">
        <f t="shared" si="179"/>
        <v>138</v>
      </c>
      <c r="B142" s="3">
        <f t="shared" si="201"/>
        <v>43401</v>
      </c>
      <c r="C142" s="4">
        <v>5.5E-2</v>
      </c>
      <c r="D142">
        <v>1892</v>
      </c>
      <c r="E142" s="2">
        <v>33125227.829999998</v>
      </c>
      <c r="G142" s="5">
        <f t="shared" si="175"/>
        <v>0.36805808699999998</v>
      </c>
      <c r="H142" s="2">
        <f t="shared" si="176"/>
        <v>140719.33103157894</v>
      </c>
      <c r="I142" s="2">
        <v>167020.68</v>
      </c>
      <c r="J142" s="2"/>
      <c r="K142" s="2"/>
      <c r="L142" s="2"/>
      <c r="M142" s="2"/>
      <c r="N142" s="2"/>
      <c r="O142" s="2"/>
      <c r="P142" s="36">
        <v>8</v>
      </c>
      <c r="Q142" s="6">
        <f t="shared" si="177"/>
        <v>4.9975007930021841E-3</v>
      </c>
      <c r="R142" s="6">
        <f t="shared" ref="R142" si="210">1-(+Q142-1)^12</f>
        <v>5.834881106167733E-2</v>
      </c>
      <c r="S142" s="6">
        <f t="shared" ref="S142" si="211">AVERAGE(R140:R142)</f>
        <v>6.993582754279011E-2</v>
      </c>
      <c r="T142" s="6">
        <f t="shared" ref="T142" si="212">AVERAGE(R131:R142)</f>
        <v>4.6204309395957092E-2</v>
      </c>
      <c r="U142" s="6">
        <f t="shared" ref="U142" si="213">AVERAGE(R125:R142)</f>
        <v>4.6317607892486568E-2</v>
      </c>
      <c r="V142" s="2">
        <v>1167.72</v>
      </c>
      <c r="W142" s="2">
        <v>31869373</v>
      </c>
      <c r="X142" s="2">
        <v>839817</v>
      </c>
      <c r="Y142" s="2">
        <v>167015</v>
      </c>
      <c r="Z142" s="2">
        <v>70659</v>
      </c>
      <c r="AA142" s="2">
        <v>14320</v>
      </c>
      <c r="AB142" s="2">
        <v>19421</v>
      </c>
      <c r="AC142" s="2">
        <v>24926.23</v>
      </c>
      <c r="AD142" s="2">
        <f>+AD141+AC142</f>
        <v>1719487.29</v>
      </c>
      <c r="AE142" s="4">
        <f t="shared" si="192"/>
        <v>1.9105414333333334E-2</v>
      </c>
      <c r="AF142" s="2">
        <v>18049078.780000001</v>
      </c>
      <c r="AG142" s="5">
        <f t="shared" si="193"/>
        <v>0.23733173938198554</v>
      </c>
      <c r="AH142" s="2">
        <f t="shared" si="178"/>
        <v>17337083.561854046</v>
      </c>
      <c r="AI142" s="2">
        <f t="shared" si="109"/>
        <v>13950000</v>
      </c>
      <c r="AJ142" s="5">
        <f t="shared" si="194"/>
        <v>1</v>
      </c>
      <c r="AK142" s="4">
        <f t="shared" si="173"/>
        <v>0.54487410237987188</v>
      </c>
      <c r="AL142" s="9">
        <v>211922.06</v>
      </c>
      <c r="AM142" s="4">
        <f t="shared" si="174"/>
        <v>0.46152350071247783</v>
      </c>
      <c r="AO142" s="8">
        <f t="shared" si="195"/>
        <v>0.96208766211525865</v>
      </c>
      <c r="AP142" s="8">
        <f t="shared" si="196"/>
        <v>2.5352791664104913E-2</v>
      </c>
      <c r="AQ142" s="8">
        <f t="shared" si="197"/>
        <v>5.0419275863437894E-3</v>
      </c>
      <c r="AR142" s="8">
        <f t="shared" si="198"/>
        <v>2.1330872156600654E-3</v>
      </c>
      <c r="AS142" s="8">
        <f t="shared" si="199"/>
        <v>4.322989134894654E-4</v>
      </c>
      <c r="AT142" s="8">
        <f t="shared" si="200"/>
        <v>5.8629030718428121E-4</v>
      </c>
    </row>
    <row r="143" spans="1:46" x14ac:dyDescent="0.25">
      <c r="A143">
        <f t="shared" si="179"/>
        <v>139</v>
      </c>
      <c r="B143" s="3">
        <f t="shared" si="201"/>
        <v>43431</v>
      </c>
      <c r="C143" s="4">
        <v>5.5E-2</v>
      </c>
      <c r="D143">
        <v>1888</v>
      </c>
      <c r="E143" s="2">
        <v>32942927.84</v>
      </c>
      <c r="G143" s="5">
        <f t="shared" si="175"/>
        <v>0.36603253155555554</v>
      </c>
      <c r="H143" s="2">
        <f t="shared" si="176"/>
        <v>70032.194143763205</v>
      </c>
      <c r="I143" s="2">
        <v>53362.559999999998</v>
      </c>
      <c r="J143" s="2"/>
      <c r="K143" s="2"/>
      <c r="L143" s="2"/>
      <c r="M143" s="2"/>
      <c r="N143" s="2"/>
      <c r="O143" s="2"/>
      <c r="P143" s="36">
        <v>4</v>
      </c>
      <c r="Q143" s="6">
        <f t="shared" si="177"/>
        <v>1.6109341277246092E-3</v>
      </c>
      <c r="R143" s="6">
        <f t="shared" ref="R143" si="214">1-(+Q143-1)^12</f>
        <v>1.9160848750074622E-2</v>
      </c>
      <c r="S143" s="6">
        <f t="shared" ref="S143" si="215">AVERAGE(R141:R143)</f>
        <v>5.8607353400479366E-2</v>
      </c>
      <c r="T143" s="6">
        <f t="shared" ref="T143" si="216">AVERAGE(R132:R143)</f>
        <v>4.3894092119440252E-2</v>
      </c>
      <c r="U143" s="6">
        <f t="shared" ref="U143" si="217">AVERAGE(R126:R143)</f>
        <v>4.4621709611134902E-2</v>
      </c>
      <c r="V143" s="2">
        <v>0</v>
      </c>
      <c r="W143" s="2">
        <v>31892653</v>
      </c>
      <c r="X143" s="2">
        <v>669536</v>
      </c>
      <c r="Y143" s="2">
        <v>229330</v>
      </c>
      <c r="Z143" s="2">
        <v>12292</v>
      </c>
      <c r="AA143" s="2">
        <v>0</v>
      </c>
      <c r="AB143" s="2">
        <v>0</v>
      </c>
      <c r="AC143" s="2">
        <v>0</v>
      </c>
      <c r="AD143" s="2">
        <f>+AD142+AC143</f>
        <v>1719487.29</v>
      </c>
      <c r="AE143" s="4">
        <f t="shared" si="192"/>
        <v>1.9105414333333334E-2</v>
      </c>
      <c r="AF143" s="2">
        <v>17834380.18</v>
      </c>
      <c r="AG143" s="5">
        <f t="shared" si="193"/>
        <v>0.23450861512163051</v>
      </c>
      <c r="AH143" s="2">
        <f t="shared" si="178"/>
        <v>17130854.334635109</v>
      </c>
      <c r="AI143" s="2">
        <f t="shared" si="109"/>
        <v>13950000</v>
      </c>
      <c r="AJ143" s="5">
        <f t="shared" si="194"/>
        <v>1</v>
      </c>
      <c r="AK143" s="4">
        <f t="shared" si="173"/>
        <v>0.54137204399741057</v>
      </c>
      <c r="AL143" s="9">
        <v>236882.88</v>
      </c>
      <c r="AM143" s="4">
        <f t="shared" si="174"/>
        <v>0.46581866112602333</v>
      </c>
      <c r="AO143" s="8">
        <f t="shared" si="195"/>
        <v>0.96811835168078975</v>
      </c>
      <c r="AP143" s="8">
        <f t="shared" si="196"/>
        <v>2.0324119436252269E-2</v>
      </c>
      <c r="AQ143" s="8">
        <f t="shared" si="197"/>
        <v>6.9614334558794943E-3</v>
      </c>
      <c r="AR143" s="8">
        <f t="shared" si="198"/>
        <v>3.7313016194859261E-4</v>
      </c>
      <c r="AS143" s="8">
        <f t="shared" si="199"/>
        <v>0</v>
      </c>
      <c r="AT143" s="8">
        <f t="shared" si="200"/>
        <v>0</v>
      </c>
    </row>
    <row r="144" spans="1:46" x14ac:dyDescent="0.25">
      <c r="A144">
        <f t="shared" si="179"/>
        <v>140</v>
      </c>
      <c r="B144" s="3">
        <f t="shared" si="201"/>
        <v>43461</v>
      </c>
      <c r="C144" s="4">
        <v>5.5E-2</v>
      </c>
      <c r="D144">
        <v>1882</v>
      </c>
      <c r="E144" s="2">
        <v>32700283.309999999</v>
      </c>
      <c r="G144" s="5">
        <f t="shared" si="175"/>
        <v>0.36333648122222223</v>
      </c>
      <c r="H144" s="2">
        <f t="shared" si="176"/>
        <v>104691.50796610169</v>
      </c>
      <c r="I144" s="2">
        <v>103304.74</v>
      </c>
      <c r="J144" s="2"/>
      <c r="K144" s="2"/>
      <c r="L144" s="2"/>
      <c r="M144" s="2"/>
      <c r="N144" s="2"/>
      <c r="O144" s="2"/>
      <c r="P144" s="36">
        <v>6</v>
      </c>
      <c r="Q144" s="6">
        <f t="shared" si="177"/>
        <v>3.1358700265422435E-3</v>
      </c>
      <c r="R144" s="6">
        <f t="shared" ref="R144" si="218">1-(+Q144-1)^12</f>
        <v>3.698815392821142E-2</v>
      </c>
      <c r="S144" s="6">
        <f t="shared" ref="S144" si="219">AVERAGE(R142:R144)</f>
        <v>3.8165937913321124E-2</v>
      </c>
      <c r="T144" s="6">
        <f t="shared" ref="T144" si="220">AVERAGE(R133:R144)</f>
        <v>4.4840684307801797E-2</v>
      </c>
      <c r="U144" s="6">
        <f t="shared" ref="U144" si="221">AVERAGE(R127:R144)</f>
        <v>4.4567795083005186E-2</v>
      </c>
      <c r="V144" s="2">
        <v>0</v>
      </c>
      <c r="W144" s="2">
        <v>31469676</v>
      </c>
      <c r="X144" s="2">
        <v>816754</v>
      </c>
      <c r="Y144" s="2">
        <v>240922</v>
      </c>
      <c r="Z144" s="2">
        <v>21523</v>
      </c>
      <c r="AA144" s="2">
        <v>12292</v>
      </c>
      <c r="AB144" s="2">
        <v>0</v>
      </c>
      <c r="AC144" s="2">
        <v>19420.77</v>
      </c>
      <c r="AD144" s="2">
        <f>+AD143+AC144</f>
        <v>1738908.06</v>
      </c>
      <c r="AE144" s="4">
        <f t="shared" si="192"/>
        <v>1.9321200666666666E-2</v>
      </c>
      <c r="AF144" s="2">
        <v>17560487.260000002</v>
      </c>
      <c r="AG144" s="5">
        <f t="shared" si="193"/>
        <v>0.23090713030900725</v>
      </c>
      <c r="AH144" s="2">
        <f t="shared" si="178"/>
        <v>16867765.869072981</v>
      </c>
      <c r="AI144" s="2">
        <f t="shared" si="109"/>
        <v>13950000</v>
      </c>
      <c r="AJ144" s="5">
        <f t="shared" si="194"/>
        <v>1</v>
      </c>
      <c r="AK144" s="4">
        <f t="shared" si="173"/>
        <v>0.53701330638410305</v>
      </c>
      <c r="AL144" s="9">
        <v>229000</v>
      </c>
      <c r="AM144" s="4">
        <f t="shared" si="174"/>
        <v>0.46998969104650234</v>
      </c>
      <c r="AO144" s="8">
        <f t="shared" si="195"/>
        <v>0.9623670749781037</v>
      </c>
      <c r="AP144" s="8">
        <f t="shared" ref="AP144:AP148" si="222">+X144/$E144</f>
        <v>2.4976970146011863E-2</v>
      </c>
      <c r="AQ144" s="8">
        <f t="shared" ref="AQ144:AQ148" si="223">+Y144/$E144</f>
        <v>7.3675814278442104E-3</v>
      </c>
      <c r="AR144" s="8">
        <f t="shared" ref="AR144:AR148" si="224">+Z144/$E144</f>
        <v>6.5819001615249309E-4</v>
      </c>
      <c r="AS144" s="8">
        <f t="shared" ref="AS144:AS148" si="225">+AA144/$E144</f>
        <v>3.7589888391703971E-4</v>
      </c>
      <c r="AT144" s="8">
        <f t="shared" ref="AT144:AT148" si="226">+AB144/$E144</f>
        <v>0</v>
      </c>
    </row>
    <row r="145" spans="1:46" x14ac:dyDescent="0.25">
      <c r="A145">
        <f t="shared" si="179"/>
        <v>141</v>
      </c>
      <c r="B145" s="3">
        <f t="shared" si="201"/>
        <v>43491</v>
      </c>
      <c r="C145" s="4">
        <v>5.5E-2</v>
      </c>
      <c r="D145">
        <v>1875</v>
      </c>
      <c r="E145" s="2">
        <v>32483754.260000002</v>
      </c>
      <c r="G145" s="5">
        <f t="shared" si="175"/>
        <v>0.3609306028888889</v>
      </c>
      <c r="H145" s="2">
        <f t="shared" si="176"/>
        <v>121626.98361849098</v>
      </c>
      <c r="I145" s="2">
        <v>80684.66</v>
      </c>
      <c r="J145" s="2"/>
      <c r="K145" s="2"/>
      <c r="L145" s="2"/>
      <c r="M145" s="2"/>
      <c r="N145" s="2"/>
      <c r="O145" s="2"/>
      <c r="P145" s="36">
        <v>7</v>
      </c>
      <c r="Q145" s="6">
        <f t="shared" si="177"/>
        <v>2.467399417769754E-3</v>
      </c>
      <c r="R145" s="6">
        <f t="shared" ref="R145" si="227">1-(+Q145-1)^12</f>
        <v>2.9210267554608316E-2</v>
      </c>
      <c r="S145" s="6">
        <f t="shared" ref="S145" si="228">AVERAGE(R143:R145)</f>
        <v>2.8453090077631454E-2</v>
      </c>
      <c r="T145" s="6">
        <f t="shared" ref="T145" si="229">AVERAGE(R134:R145)</f>
        <v>4.4825521832356691E-2</v>
      </c>
      <c r="U145" s="6">
        <f t="shared" ref="U145" si="230">AVERAGE(R128:R145)</f>
        <v>4.4584588050530824E-2</v>
      </c>
      <c r="V145" s="2">
        <v>0</v>
      </c>
      <c r="W145" s="2">
        <v>31477342</v>
      </c>
      <c r="X145" s="2">
        <v>568931</v>
      </c>
      <c r="Y145" s="2">
        <v>275477</v>
      </c>
      <c r="Z145" s="2">
        <v>10596</v>
      </c>
      <c r="AA145" s="2">
        <v>0</v>
      </c>
      <c r="AB145" s="2">
        <v>12292</v>
      </c>
      <c r="AC145" s="2">
        <v>0</v>
      </c>
      <c r="AD145" s="2">
        <f t="shared" ref="AD145:AD148" si="231">+AD144+AC145</f>
        <v>1738908.06</v>
      </c>
      <c r="AE145" s="4">
        <f t="shared" si="192"/>
        <v>1.9321200666666666E-2</v>
      </c>
      <c r="AF145" s="2">
        <v>17306890.23</v>
      </c>
      <c r="AG145" s="5">
        <f t="shared" si="193"/>
        <v>0.22757252110453649</v>
      </c>
      <c r="AH145" s="2">
        <f t="shared" si="178"/>
        <v>16624172.666686391</v>
      </c>
      <c r="AI145" s="2">
        <f t="shared" si="109"/>
        <v>13950000</v>
      </c>
      <c r="AJ145" s="5">
        <f t="shared" si="194"/>
        <v>1</v>
      </c>
      <c r="AK145" s="4">
        <f t="shared" si="173"/>
        <v>0.5327860225599429</v>
      </c>
      <c r="AL145" s="9">
        <v>229000</v>
      </c>
      <c r="AM145" s="4">
        <f t="shared" si="174"/>
        <v>0.47426365520104141</v>
      </c>
      <c r="AO145" s="8">
        <f t="shared" si="195"/>
        <v>0.96901798197509204</v>
      </c>
      <c r="AP145" s="8">
        <f t="shared" si="222"/>
        <v>1.7514324097094063E-2</v>
      </c>
      <c r="AQ145" s="8">
        <f t="shared" si="223"/>
        <v>8.4804545002736386E-3</v>
      </c>
      <c r="AR145" s="8">
        <f t="shared" si="224"/>
        <v>3.2619382338597953E-4</v>
      </c>
      <c r="AS145" s="8">
        <f t="shared" si="225"/>
        <v>0</v>
      </c>
      <c r="AT145" s="8">
        <f t="shared" si="226"/>
        <v>3.7840453728392416E-4</v>
      </c>
    </row>
    <row r="146" spans="1:46" x14ac:dyDescent="0.25">
      <c r="A146">
        <f t="shared" si="179"/>
        <v>142</v>
      </c>
      <c r="B146" s="3">
        <f t="shared" si="201"/>
        <v>43521</v>
      </c>
      <c r="C146" s="4">
        <v>5.5E-2</v>
      </c>
      <c r="D146">
        <v>1865</v>
      </c>
      <c r="E146" s="2">
        <v>32192195.539999999</v>
      </c>
      <c r="G146" s="5">
        <f t="shared" si="175"/>
        <v>0.35769106155555552</v>
      </c>
      <c r="H146" s="2">
        <f t="shared" si="176"/>
        <v>173246.68938666667</v>
      </c>
      <c r="I146" s="2">
        <v>174249.2</v>
      </c>
      <c r="J146" s="2"/>
      <c r="K146" s="2"/>
      <c r="L146" s="2"/>
      <c r="M146" s="2"/>
      <c r="N146" s="2"/>
      <c r="O146" s="2"/>
      <c r="P146" s="36">
        <v>10</v>
      </c>
      <c r="Q146" s="6">
        <f t="shared" si="177"/>
        <v>5.3641952406519649E-3</v>
      </c>
      <c r="R146" s="6">
        <f t="shared" ref="R146" si="232">1-(+Q146-1)^12</f>
        <v>6.2504771111413837E-2</v>
      </c>
      <c r="S146" s="6">
        <f t="shared" ref="S146" si="233">AVERAGE(R144:R146)</f>
        <v>4.2901064198077855E-2</v>
      </c>
      <c r="T146" s="6">
        <f t="shared" ref="T146" si="234">AVERAGE(R135:R146)</f>
        <v>4.7614983257789283E-2</v>
      </c>
      <c r="U146" s="6">
        <f t="shared" ref="U146" si="235">AVERAGE(R129:R146)</f>
        <v>4.5639067075082057E-2</v>
      </c>
      <c r="V146" s="2">
        <v>0</v>
      </c>
      <c r="W146" s="2">
        <v>31002698</v>
      </c>
      <c r="X146" s="2">
        <v>728025</v>
      </c>
      <c r="Y146" s="2">
        <v>242346</v>
      </c>
      <c r="Z146" s="2">
        <v>56851</v>
      </c>
      <c r="AA146" s="2">
        <v>10596</v>
      </c>
      <c r="AB146" s="2">
        <v>0</v>
      </c>
      <c r="AC146" s="2">
        <v>12291.52</v>
      </c>
      <c r="AD146" s="2">
        <f t="shared" si="231"/>
        <v>1751199.58</v>
      </c>
      <c r="AE146" s="4">
        <f t="shared" si="192"/>
        <v>1.9457773111111111E-2</v>
      </c>
      <c r="AF146" s="2">
        <v>16982114.940000001</v>
      </c>
      <c r="AG146" s="5">
        <f t="shared" si="193"/>
        <v>0.22330197159763315</v>
      </c>
      <c r="AH146" s="2">
        <f t="shared" si="178"/>
        <v>16312209.025207102</v>
      </c>
      <c r="AI146" s="2">
        <f t="shared" si="109"/>
        <v>13950000</v>
      </c>
      <c r="AJ146" s="5">
        <f t="shared" si="194"/>
        <v>1</v>
      </c>
      <c r="AK146" s="4">
        <f t="shared" si="173"/>
        <v>0.52752273198946908</v>
      </c>
      <c r="AL146" s="9">
        <v>220259.02</v>
      </c>
      <c r="AM146" s="4">
        <f t="shared" si="174"/>
        <v>0.47931926857325491</v>
      </c>
      <c r="AO146" s="8">
        <f t="shared" si="195"/>
        <v>0.9630501269004158</v>
      </c>
      <c r="AP146" s="8">
        <f t="shared" si="222"/>
        <v>2.2614953338469936E-2</v>
      </c>
      <c r="AQ146" s="8">
        <f t="shared" si="223"/>
        <v>7.5280979111498033E-3</v>
      </c>
      <c r="AR146" s="8">
        <f t="shared" si="224"/>
        <v>1.7659870364964863E-3</v>
      </c>
      <c r="AS146" s="8">
        <f t="shared" si="225"/>
        <v>3.2914810009879804E-4</v>
      </c>
      <c r="AT146" s="8">
        <f t="shared" si="226"/>
        <v>0</v>
      </c>
    </row>
    <row r="147" spans="1:46" x14ac:dyDescent="0.25">
      <c r="A147">
        <f t="shared" si="179"/>
        <v>143</v>
      </c>
      <c r="B147" s="3">
        <f t="shared" si="201"/>
        <v>43551</v>
      </c>
      <c r="C147" s="4">
        <v>5.5E-2</v>
      </c>
      <c r="D147">
        <v>1858</v>
      </c>
      <c r="E147" s="2">
        <v>31913708.210000001</v>
      </c>
      <c r="G147" s="5">
        <f t="shared" si="175"/>
        <v>0.35459675788888889</v>
      </c>
      <c r="H147" s="2">
        <f t="shared" si="176"/>
        <v>120828.61596782842</v>
      </c>
      <c r="I147" s="2">
        <v>121565.77</v>
      </c>
      <c r="P147" s="36">
        <v>7</v>
      </c>
      <c r="Q147" s="6">
        <f t="shared" si="177"/>
        <v>3.7762497388210137E-3</v>
      </c>
      <c r="R147" s="6">
        <f t="shared" ref="R147" si="236">1-(+Q147-1)^12</f>
        <v>4.4385579617744586E-2</v>
      </c>
      <c r="S147" s="6">
        <f t="shared" ref="S147" si="237">AVERAGE(R145:R147)</f>
        <v>4.5366872761255582E-2</v>
      </c>
      <c r="T147" s="6">
        <f t="shared" ref="T147" si="238">AVERAGE(R136:R147)</f>
        <v>4.7762214684084814E-2</v>
      </c>
      <c r="U147" s="6">
        <f t="shared" ref="U147" si="239">AVERAGE(R130:R147)</f>
        <v>4.389025367234313E-2</v>
      </c>
      <c r="V147" s="2">
        <v>0</v>
      </c>
      <c r="W147" s="2">
        <v>30446693</v>
      </c>
      <c r="X147" s="2">
        <v>854872</v>
      </c>
      <c r="Y147" s="2">
        <v>398320</v>
      </c>
      <c r="Z147" s="2">
        <v>90836</v>
      </c>
      <c r="AA147" s="2">
        <v>10596</v>
      </c>
      <c r="AB147" s="2">
        <v>0</v>
      </c>
      <c r="AC147" s="2">
        <v>0</v>
      </c>
      <c r="AD147" s="2">
        <f t="shared" si="231"/>
        <v>1751199.58</v>
      </c>
      <c r="AE147" s="4">
        <f t="shared" si="192"/>
        <v>1.9457773111111111E-2</v>
      </c>
      <c r="AF147" s="2">
        <v>16725896.58</v>
      </c>
      <c r="AG147" s="5">
        <f t="shared" si="193"/>
        <v>0.21993289388560158</v>
      </c>
      <c r="AH147" s="2">
        <f t="shared" si="178"/>
        <v>16066097.898343196</v>
      </c>
      <c r="AI147" s="2">
        <f t="shared" si="109"/>
        <v>13950000</v>
      </c>
      <c r="AJ147" s="5">
        <f t="shared" si="194"/>
        <v>1</v>
      </c>
      <c r="AK147" s="4">
        <f t="shared" si="173"/>
        <v>0.52409755926636648</v>
      </c>
      <c r="AL147" s="9">
        <v>189110</v>
      </c>
      <c r="AM147" s="4">
        <f t="shared" si="174"/>
        <v>0.48182810749587912</v>
      </c>
      <c r="AO147" s="8">
        <f t="shared" si="195"/>
        <v>0.9540318160350818</v>
      </c>
      <c r="AP147" s="8">
        <f t="shared" si="222"/>
        <v>2.6786984275682827E-2</v>
      </c>
      <c r="AQ147" s="8">
        <f t="shared" si="223"/>
        <v>1.2481156917866047E-2</v>
      </c>
      <c r="AR147" s="8">
        <f t="shared" si="224"/>
        <v>2.84630038609982E-3</v>
      </c>
      <c r="AS147" s="8">
        <f t="shared" si="225"/>
        <v>3.3202033214929866E-4</v>
      </c>
      <c r="AT147" s="8">
        <f t="shared" si="226"/>
        <v>0</v>
      </c>
    </row>
    <row r="148" spans="1:46" x14ac:dyDescent="0.25">
      <c r="A148">
        <f t="shared" si="179"/>
        <v>144</v>
      </c>
      <c r="B148" s="3">
        <f t="shared" si="201"/>
        <v>43581</v>
      </c>
      <c r="C148" s="4">
        <v>5.5E-2</v>
      </c>
      <c r="D148">
        <v>1851</v>
      </c>
      <c r="E148" s="2">
        <v>31665175.920000002</v>
      </c>
      <c r="G148" s="5">
        <f t="shared" si="175"/>
        <v>0.35183528800000002</v>
      </c>
      <c r="H148" s="2">
        <f>+E147/D147*P148</f>
        <v>120234.63803552208</v>
      </c>
      <c r="I148" s="2">
        <v>100211.54</v>
      </c>
      <c r="P148" s="36">
        <v>7</v>
      </c>
      <c r="Q148" s="6">
        <f t="shared" ref="Q148" si="240">IF(I148&gt;0,I148,+H148)/E147</f>
        <v>3.140078217817358E-3</v>
      </c>
      <c r="R148" s="6">
        <f t="shared" ref="R148" si="241">1-(+Q148-1)^12</f>
        <v>3.7036936230673723E-2</v>
      </c>
      <c r="S148" s="6">
        <f t="shared" ref="S148" si="242">AVERAGE(R146:R148)</f>
        <v>4.7975762319944049E-2</v>
      </c>
      <c r="T148" s="6">
        <f t="shared" ref="T148" si="243">AVERAGE(R137:R148)</f>
        <v>4.6460136513091249E-2</v>
      </c>
      <c r="U148" s="6">
        <f t="shared" ref="U148" si="244">AVERAGE(R131:R148)</f>
        <v>4.3541014996900641E-2</v>
      </c>
      <c r="V148" s="2">
        <v>791.88</v>
      </c>
      <c r="W148" s="2">
        <v>30375076</v>
      </c>
      <c r="X148" s="2">
        <v>588147</v>
      </c>
      <c r="Y148" s="2">
        <v>361235</v>
      </c>
      <c r="Z148" s="2">
        <v>194476</v>
      </c>
      <c r="AA148" s="2">
        <v>35547</v>
      </c>
      <c r="AB148" s="2">
        <v>10596</v>
      </c>
      <c r="AC148" s="2">
        <v>0</v>
      </c>
      <c r="AD148" s="2">
        <f t="shared" si="231"/>
        <v>1751199.58</v>
      </c>
      <c r="AE148" s="4">
        <f t="shared" si="192"/>
        <v>1.9457773111111111E-2</v>
      </c>
      <c r="AF148" s="2">
        <v>16437882.960000001</v>
      </c>
      <c r="AG148" s="5">
        <f t="shared" si="193"/>
        <v>0.21614573254437872</v>
      </c>
      <c r="AH148" s="2">
        <f t="shared" si="178"/>
        <v>15789445.762366865</v>
      </c>
      <c r="AI148" s="2">
        <f t="shared" si="109"/>
        <v>13950000</v>
      </c>
      <c r="AJ148" s="5">
        <f t="shared" si="194"/>
        <v>1</v>
      </c>
      <c r="AK148" s="4">
        <f t="shared" si="173"/>
        <v>0.51911547883167419</v>
      </c>
      <c r="AL148" s="9">
        <v>192908.83</v>
      </c>
      <c r="AM148" s="4">
        <f t="shared" si="174"/>
        <v>0.48697666575288046</v>
      </c>
      <c r="AO148" s="8">
        <f t="shared" si="195"/>
        <v>0.95925808455132677</v>
      </c>
      <c r="AP148" s="8">
        <f t="shared" si="222"/>
        <v>1.8573937548489072E-2</v>
      </c>
      <c r="AQ148" s="8">
        <f t="shared" si="223"/>
        <v>1.1407958096068585E-2</v>
      </c>
      <c r="AR148" s="8">
        <f t="shared" si="224"/>
        <v>6.1416364933935914E-3</v>
      </c>
      <c r="AS148" s="8">
        <f t="shared" si="225"/>
        <v>1.1225896893738148E-3</v>
      </c>
      <c r="AT148" s="8">
        <f t="shared" si="226"/>
        <v>3.3462627925295922E-4</v>
      </c>
    </row>
    <row r="149" spans="1:46" x14ac:dyDescent="0.25">
      <c r="A149">
        <f t="shared" si="179"/>
        <v>145</v>
      </c>
      <c r="B149" s="3">
        <f t="shared" si="201"/>
        <v>43611</v>
      </c>
      <c r="C149" s="4">
        <f>'[67]May-17'!$C$6</f>
        <v>0</v>
      </c>
      <c r="D149" s="41">
        <f>'[68]Part 1'!$C$20</f>
        <v>1842</v>
      </c>
      <c r="E149" s="2">
        <f>'[68]Part 1'!$C$24</f>
        <v>31349783.27</v>
      </c>
      <c r="G149" s="5">
        <f t="shared" si="175"/>
        <v>0.3483309252222222</v>
      </c>
      <c r="H149" s="2">
        <f t="shared" si="176"/>
        <v>153963.57821717989</v>
      </c>
      <c r="I149" s="2">
        <f>'[68]Parts 2 - 3'!$C$51</f>
        <v>146173.24</v>
      </c>
      <c r="P149" s="42">
        <f>'[68]Parts 2 - 3'!$C$49</f>
        <v>9</v>
      </c>
      <c r="Q149" s="6">
        <f t="shared" ref="Q149" si="245">IF(I149&gt;0,I149,+H149)/E148</f>
        <v>4.6162143665109305E-3</v>
      </c>
      <c r="R149" s="6">
        <f t="shared" ref="R149" si="246">1-(+Q149-1)^12</f>
        <v>5.400956772120924E-2</v>
      </c>
      <c r="S149" s="6">
        <f t="shared" ref="S149" si="247">AVERAGE(R147:R149)</f>
        <v>4.5144027856542514E-2</v>
      </c>
      <c r="T149" s="6">
        <f t="shared" ref="T149:T154" si="248">AVERAGE(R138:R149)</f>
        <v>4.7035274605866477E-2</v>
      </c>
      <c r="U149" s="6">
        <f t="shared" ref="U149:U154" si="249">AVERAGE(R132:R149)</f>
        <v>4.3936910088730227E-2</v>
      </c>
      <c r="V149" s="2">
        <f>'[68]Parts 4 - 6 '!$C$46</f>
        <v>0</v>
      </c>
      <c r="W149" s="2">
        <f>'[68]Parts 7-10'!$C$4</f>
        <v>30435461.559999999</v>
      </c>
      <c r="X149" s="2">
        <f>'[68]Parts 7-10'!$E$4</f>
        <v>560468.67000000004</v>
      </c>
      <c r="Y149" s="2">
        <f>'[68]Parts 7-10'!$F$4</f>
        <v>118668.49</v>
      </c>
      <c r="Z149" s="2">
        <f>'[68]Parts 7-10'!$G$4</f>
        <v>48641.65</v>
      </c>
      <c r="AA149" s="2">
        <f>'[68]Parts 7-10'!$H$4</f>
        <v>61078.31</v>
      </c>
      <c r="AB149" s="2">
        <f>'[68]Parts 7-10'!$J$4</f>
        <v>10596.38</v>
      </c>
      <c r="AC149" s="2">
        <f>'[68]Part 11 Deemed Defaults'!$L$88</f>
        <v>14768.89</v>
      </c>
      <c r="AD149" s="2">
        <f t="shared" ref="AD149:AD154" si="250">+AD148+AC149</f>
        <v>1765968.47</v>
      </c>
      <c r="AE149" s="4">
        <f t="shared" si="192"/>
        <v>1.9621871888888889E-2</v>
      </c>
      <c r="AF149" s="2">
        <f>'[68]Part 11'!$V$8</f>
        <v>16093301.000000004</v>
      </c>
      <c r="AG149" s="5">
        <f t="shared" si="193"/>
        <v>0.21161474030243266</v>
      </c>
      <c r="AH149" s="2">
        <f t="shared" si="178"/>
        <v>15458456.779092707</v>
      </c>
      <c r="AI149" s="2">
        <f t="shared" si="109"/>
        <v>13950000</v>
      </c>
      <c r="AJ149" s="5">
        <f t="shared" si="194"/>
        <v>1</v>
      </c>
      <c r="AK149" s="4">
        <f t="shared" si="173"/>
        <v>0.5133464834954824</v>
      </c>
      <c r="AL149" s="9">
        <f>'[68]Parts 4 - 6 '!$C$33</f>
        <v>206398.16791650007</v>
      </c>
      <c r="AM149" s="4">
        <f t="shared" si="174"/>
        <v>0.49323723563708377</v>
      </c>
      <c r="AO149" s="8">
        <f t="shared" ref="AO149" si="251">+W149/$E149</f>
        <v>0.97083483154810335</v>
      </c>
      <c r="AP149" s="8">
        <f t="shared" ref="AP149" si="252">+X149/$E149</f>
        <v>1.7877912111001336E-2</v>
      </c>
      <c r="AQ149" s="8">
        <f t="shared" ref="AQ149" si="253">+Y149/$E149</f>
        <v>3.7853049565914911E-3</v>
      </c>
      <c r="AR149" s="8">
        <f t="shared" ref="AR149" si="254">+Z149/$E149</f>
        <v>1.5515785095250518E-3</v>
      </c>
      <c r="AS149" s="8">
        <f t="shared" ref="AS149" si="255">+AA149/$E149</f>
        <v>1.9482849203123055E-3</v>
      </c>
      <c r="AT149" s="8">
        <f t="shared" ref="AT149" si="256">+AB149/$E149</f>
        <v>3.3800488854224861E-4</v>
      </c>
    </row>
    <row r="150" spans="1:46" x14ac:dyDescent="0.25">
      <c r="A150">
        <f t="shared" si="179"/>
        <v>146</v>
      </c>
      <c r="B150" s="3">
        <f t="shared" si="201"/>
        <v>43641</v>
      </c>
      <c r="C150" s="4">
        <f>'[67]Jun-17'!$C$6</f>
        <v>0</v>
      </c>
      <c r="D150" s="41">
        <f>'[69]Part 1'!$C$20</f>
        <v>1836</v>
      </c>
      <c r="E150" s="2">
        <f>'[69]Part 1'!$C$24</f>
        <v>31140452.879999999</v>
      </c>
      <c r="G150" s="5">
        <f t="shared" ref="G150" si="257">+E150/$E$4</f>
        <v>0.34600503199999999</v>
      </c>
      <c r="H150" s="2">
        <f t="shared" ref="H150" si="258">+E149/D149*P150</f>
        <v>102116.55788273615</v>
      </c>
      <c r="I150" s="2">
        <f>'[69]Parts 2 - 3'!$C$51</f>
        <v>70333.66</v>
      </c>
      <c r="P150" s="42">
        <f>'[69]Parts 2 - 3'!$C$49</f>
        <v>6</v>
      </c>
      <c r="Q150" s="6">
        <f t="shared" ref="Q150" si="259">IF(I150&gt;0,I150,+H150)/E149</f>
        <v>2.2435134365763033E-3</v>
      </c>
      <c r="R150" s="6">
        <f t="shared" ref="R150" si="260">1-(+Q150-1)^12</f>
        <v>2.6592431802213379E-2</v>
      </c>
      <c r="S150" s="6">
        <f t="shared" ref="S150" si="261">AVERAGE(R148:R150)</f>
        <v>3.9212978584698778E-2</v>
      </c>
      <c r="T150" s="6">
        <f t="shared" si="248"/>
        <v>4.6321838524888026E-2</v>
      </c>
      <c r="U150" s="6">
        <f t="shared" si="249"/>
        <v>4.3990431429526924E-2</v>
      </c>
      <c r="V150" s="2">
        <f>'[69]Parts 4 - 6 '!$C$46</f>
        <v>0</v>
      </c>
      <c r="W150" s="2">
        <f>'[69]Parts 7-10'!$C$4</f>
        <v>29940280.770000003</v>
      </c>
      <c r="X150" s="2">
        <f>'[69]Parts 7-10'!$E$4</f>
        <v>775689.05</v>
      </c>
      <c r="Y150" s="2">
        <f>'[69]Parts 7-10'!$F$4</f>
        <v>213050.82</v>
      </c>
      <c r="Z150" s="2">
        <f>'[69]Parts 7-10'!$G$4</f>
        <v>0</v>
      </c>
      <c r="AA150" s="2">
        <f>'[69]Parts 7-10'!$H$4</f>
        <v>69419.350000000006</v>
      </c>
      <c r="AB150" s="2">
        <f>'[69]Parts 7-10'!$J$4</f>
        <v>31317.19</v>
      </c>
      <c r="AC150" s="2">
        <v>10596.38</v>
      </c>
      <c r="AD150" s="2">
        <f t="shared" si="250"/>
        <v>1776564.8499999999</v>
      </c>
      <c r="AE150" s="4">
        <f t="shared" ref="AE150" si="262">+AD150/$E$4</f>
        <v>1.9739609444444441E-2</v>
      </c>
      <c r="AF150" s="2">
        <f>'[69]Part 11'!$V$8</f>
        <v>15864463.570000004</v>
      </c>
      <c r="AG150" s="5">
        <f t="shared" ref="AG150" si="263">+AF150/$AF$4</f>
        <v>0.20860570111768578</v>
      </c>
      <c r="AH150" s="2">
        <f t="shared" ref="AH150" si="264">+$AH$2*AF150</f>
        <v>15238646.466646947</v>
      </c>
      <c r="AI150" s="2">
        <f t="shared" si="109"/>
        <v>13950000</v>
      </c>
      <c r="AJ150" s="5">
        <f t="shared" ref="AJ150" si="265">+AI150/AI$4</f>
        <v>1</v>
      </c>
      <c r="AK150" s="4">
        <f t="shared" ref="AK150" si="266">+AF150/E150</f>
        <v>0.50944871068939968</v>
      </c>
      <c r="AL150" s="9">
        <f>'[69]Parts 4 - 6 '!$C$33</f>
        <v>222278.6620256126</v>
      </c>
      <c r="AM150" s="4">
        <f t="shared" ref="AM150" si="267">1-(+AF150-AL150)/E150</f>
        <v>0.49768922859755171</v>
      </c>
      <c r="AO150" s="8">
        <f t="shared" ref="AO150" si="268">+W150/$E150</f>
        <v>0.96145938806269549</v>
      </c>
      <c r="AP150" s="8">
        <f t="shared" ref="AP150" si="269">+X150/$E150</f>
        <v>2.4909369590388569E-2</v>
      </c>
      <c r="AQ150" s="8">
        <f t="shared" ref="AQ150" si="270">+Y150/$E150</f>
        <v>6.8416095559365548E-3</v>
      </c>
      <c r="AR150" s="8">
        <f t="shared" ref="AR150" si="271">+Z150/$E150</f>
        <v>0</v>
      </c>
      <c r="AS150" s="8">
        <f t="shared" ref="AS150" si="272">+AA150/$E150</f>
        <v>2.2292337965510028E-3</v>
      </c>
      <c r="AT150" s="8">
        <f t="shared" ref="AT150" si="273">+AB150/$E150</f>
        <v>1.0056754832911731E-3</v>
      </c>
    </row>
    <row r="151" spans="1:46" x14ac:dyDescent="0.25">
      <c r="A151">
        <f t="shared" si="179"/>
        <v>147</v>
      </c>
      <c r="B151" s="3">
        <f t="shared" si="201"/>
        <v>43671</v>
      </c>
      <c r="C151" s="4">
        <f>'[67]Jul-17'!$C$6</f>
        <v>0</v>
      </c>
      <c r="D151" s="41">
        <f>'[70]Part 1'!$C$20</f>
        <v>1828</v>
      </c>
      <c r="E151" s="2">
        <f>'[70]Part 1'!$C$24</f>
        <v>30926248.57</v>
      </c>
      <c r="G151" s="5">
        <f t="shared" ref="G151" si="274">+E151/$E$4</f>
        <v>0.34362498411111109</v>
      </c>
      <c r="H151" s="2">
        <f t="shared" ref="H151" si="275">+E150/D150*P151</f>
        <v>118727.21686274509</v>
      </c>
      <c r="I151" s="2">
        <f>'[70]Parts 2 - 3'!$C$51</f>
        <v>90836.96</v>
      </c>
      <c r="P151" s="42">
        <f>'[70]Parts 2 - 3'!$C$49</f>
        <v>7</v>
      </c>
      <c r="Q151" s="6">
        <f t="shared" ref="Q151" si="276">IF(I151&gt;0,I151,+H151)/E150</f>
        <v>2.9170083155193988E-3</v>
      </c>
      <c r="R151" s="6">
        <f t="shared" ref="R151" si="277">1-(+Q151-1)^12</f>
        <v>3.4447934779215372E-2</v>
      </c>
      <c r="S151" s="6">
        <f t="shared" ref="S151" si="278">AVERAGE(R149:R151)</f>
        <v>3.8349978100879333E-2</v>
      </c>
      <c r="T151" s="6">
        <f t="shared" si="248"/>
        <v>4.6178664510311239E-2</v>
      </c>
      <c r="U151" s="6">
        <f t="shared" si="249"/>
        <v>4.4271304625041689E-2</v>
      </c>
      <c r="V151" s="2">
        <f>'[70]Parts 4 - 6 '!$C$46</f>
        <v>0</v>
      </c>
      <c r="W151" s="2">
        <f>'[70]Parts 7-10'!$C$4</f>
        <v>29542905.07</v>
      </c>
      <c r="X151" s="2">
        <f>'[70]Parts 7-10'!$E$4</f>
        <v>778581.51</v>
      </c>
      <c r="Y151" s="2">
        <f>'[70]Parts 7-10'!$F$4</f>
        <v>388247.95</v>
      </c>
      <c r="Z151" s="2">
        <f>'[70]Parts 7-10'!$G$4</f>
        <v>34912.379999999997</v>
      </c>
      <c r="AA151" s="2">
        <f>'[70]Parts 7-10'!$H$4</f>
        <v>0</v>
      </c>
      <c r="AB151" s="2">
        <f>'[70]Parts 7-10'!$J$4</f>
        <v>54357.66</v>
      </c>
      <c r="AC151" s="2">
        <v>61839.59</v>
      </c>
      <c r="AD151" s="2">
        <f t="shared" si="250"/>
        <v>1838404.44</v>
      </c>
      <c r="AE151" s="4">
        <f t="shared" ref="AE151" si="279">+AD151/$E$4</f>
        <v>2.0426716000000001E-2</v>
      </c>
      <c r="AF151" s="2">
        <f>'[70]Part 11'!$V$8</f>
        <v>15623526.020000001</v>
      </c>
      <c r="AG151" s="5">
        <f t="shared" ref="AG151" si="280">+AF151/$AF$4</f>
        <v>0.20543755450361606</v>
      </c>
      <c r="AH151" s="2">
        <f t="shared" ref="AH151" si="281">+$AH$2*AF151</f>
        <v>15007213.356489154</v>
      </c>
      <c r="AI151" s="2">
        <f t="shared" si="109"/>
        <v>13950000</v>
      </c>
      <c r="AJ151" s="5">
        <f t="shared" ref="AJ151" si="282">+AI151/AI$4</f>
        <v>1</v>
      </c>
      <c r="AK151" s="4">
        <f t="shared" ref="AK151" si="283">+AF151/E151</f>
        <v>0.50518658881748757</v>
      </c>
      <c r="AL151" s="9">
        <f>'[70]Parts 4 - 6 '!$C$33</f>
        <v>185918.2926540917</v>
      </c>
      <c r="AM151" s="4">
        <f t="shared" ref="AM151" si="284">1-(+AF151-AL151)/E151</f>
        <v>0.50082507768752926</v>
      </c>
      <c r="AO151" s="8">
        <f t="shared" ref="AO151" si="285">+W151/$E151</f>
        <v>0.95526959899876407</v>
      </c>
      <c r="AP151" s="8">
        <f t="shared" ref="AP151" si="286">+X151/$E151</f>
        <v>2.5175426894656173E-2</v>
      </c>
      <c r="AQ151" s="8">
        <f t="shared" ref="AQ151" si="287">+Y151/$E151</f>
        <v>1.2553994355998931E-2</v>
      </c>
      <c r="AR151" s="8">
        <f t="shared" ref="AR151" si="288">+Z151/$E151</f>
        <v>1.1288915278869853E-3</v>
      </c>
      <c r="AS151" s="8">
        <f t="shared" ref="AS151" si="289">+AA151/$E151</f>
        <v>0</v>
      </c>
      <c r="AT151" s="8">
        <f t="shared" ref="AT151" si="290">+AB151/$E151</f>
        <v>1.7576545010612647E-3</v>
      </c>
    </row>
    <row r="152" spans="1:46" x14ac:dyDescent="0.25">
      <c r="A152">
        <f t="shared" si="179"/>
        <v>148</v>
      </c>
      <c r="B152" s="3">
        <f t="shared" si="201"/>
        <v>43701</v>
      </c>
      <c r="C152" s="4">
        <f>'[67]Ago-17'!$C$6</f>
        <v>0</v>
      </c>
      <c r="D152" s="41">
        <f>'[71]Part 1'!$C$20</f>
        <v>1823</v>
      </c>
      <c r="E152" s="2">
        <f>'[71]Part 1'!$C$24</f>
        <v>30729298.100000001</v>
      </c>
      <c r="G152" s="5">
        <f t="shared" ref="G152" si="291">+E152/$E$4</f>
        <v>0.34143664555555558</v>
      </c>
      <c r="H152" s="2">
        <f t="shared" ref="H152" si="292">+E151/D151*P152</f>
        <v>84590.39543216629</v>
      </c>
      <c r="I152" s="2">
        <f>'[71]Parts 2 - 3'!$C$51</f>
        <v>57665.83</v>
      </c>
      <c r="P152" s="42">
        <f>'[71]Parts 2 - 3'!$C$49</f>
        <v>5</v>
      </c>
      <c r="Q152" s="6">
        <f t="shared" ref="Q152" si="293">IF(I152&gt;0,I152,+H152)/E151</f>
        <v>1.8646241515351048E-3</v>
      </c>
      <c r="R152" s="6">
        <f t="shared" ref="R152" si="294">1-(+Q152-1)^12</f>
        <v>2.2147439772660982E-2</v>
      </c>
      <c r="S152" s="6">
        <f t="shared" ref="S152" si="295">AVERAGE(R150:R152)</f>
        <v>2.7729268784696576E-2</v>
      </c>
      <c r="T152" s="6">
        <f t="shared" si="248"/>
        <v>4.3595428559949079E-2</v>
      </c>
      <c r="U152" s="6">
        <f t="shared" si="249"/>
        <v>4.3888871612066033E-2</v>
      </c>
      <c r="V152" s="2">
        <f>'[71]Parts 4 - 6 '!$C$46</f>
        <v>0</v>
      </c>
      <c r="W152" s="2">
        <f>'[71]Parts 7-10'!$C$4</f>
        <v>29462931.399999999</v>
      </c>
      <c r="X152" s="2">
        <f>'[71]Parts 7-10'!$E$4</f>
        <v>712653.41</v>
      </c>
      <c r="Y152" s="2">
        <f>'[71]Parts 7-10'!$F$4</f>
        <v>347532.09</v>
      </c>
      <c r="Z152" s="2">
        <f>'[71]Parts 7-10'!$G$4</f>
        <v>42014.15</v>
      </c>
      <c r="AA152" s="2">
        <f>'[71]Parts 7-10'!$H$4</f>
        <v>38702.46</v>
      </c>
      <c r="AB152" s="2">
        <f>'[71]Parts 7-10'!$J$4</f>
        <v>14768.89</v>
      </c>
      <c r="AC152" s="2">
        <f>'[71]Part 11 Deemed Defaults'!$L$88</f>
        <v>0</v>
      </c>
      <c r="AD152" s="2">
        <f t="shared" si="250"/>
        <v>1838404.44</v>
      </c>
      <c r="AE152" s="4">
        <f t="shared" ref="AE152" si="296">+AD152/$E$4</f>
        <v>2.0426716000000001E-2</v>
      </c>
      <c r="AF152" s="2">
        <f>'[71]Part 11'!$V$8</f>
        <v>15398138.790000003</v>
      </c>
      <c r="AG152" s="5">
        <f t="shared" ref="AG152" si="297">+AF152/$AF$4</f>
        <v>0.20247388284023674</v>
      </c>
      <c r="AH152" s="2">
        <f t="shared" ref="AH152" si="298">+$AH$2*AF152</f>
        <v>14790717.141479293</v>
      </c>
      <c r="AI152" s="2">
        <f t="shared" si="109"/>
        <v>13950000</v>
      </c>
      <c r="AJ152" s="5">
        <f t="shared" ref="AJ152" si="299">+AI152/AI$4</f>
        <v>1</v>
      </c>
      <c r="AK152" s="4">
        <f t="shared" ref="AK152" si="300">+AF152/E152</f>
        <v>0.50108983094540649</v>
      </c>
      <c r="AL152" s="9">
        <f>'[71]Parts 4 - 6 '!$C$33</f>
        <v>215790.1884474876</v>
      </c>
      <c r="AM152" s="4">
        <f t="shared" ref="AM152" si="301">1-(+AF152-AL152)/E152</f>
        <v>0.50593246379576384</v>
      </c>
      <c r="AO152" s="8">
        <f t="shared" ref="AO152" si="302">+W152/$E152</f>
        <v>0.95878959890723947</v>
      </c>
      <c r="AP152" s="8">
        <f t="shared" ref="AP152" si="303">+X152/$E152</f>
        <v>2.319133381051746E-2</v>
      </c>
      <c r="AQ152" s="8">
        <f t="shared" ref="AQ152" si="304">+Y152/$E152</f>
        <v>1.1309470488686496E-2</v>
      </c>
      <c r="AR152" s="8">
        <f t="shared" ref="AR152" si="305">+Z152/$E152</f>
        <v>1.3672342877236105E-3</v>
      </c>
      <c r="AS152" s="8">
        <f t="shared" ref="AS152" si="306">+AA152/$E152</f>
        <v>1.2594644978239837E-3</v>
      </c>
      <c r="AT152" s="8">
        <f t="shared" ref="AT152" si="307">+AB152/$E152</f>
        <v>4.8061266977002639E-4</v>
      </c>
    </row>
    <row r="153" spans="1:46" x14ac:dyDescent="0.25">
      <c r="A153">
        <f t="shared" si="179"/>
        <v>149</v>
      </c>
      <c r="B153" s="3">
        <f t="shared" si="201"/>
        <v>43731</v>
      </c>
      <c r="C153" s="4">
        <f>'[67]Sep-17'!$C$6</f>
        <v>0</v>
      </c>
      <c r="D153" s="41">
        <f>'[72]Part 1'!$C$20</f>
        <v>1816</v>
      </c>
      <c r="E153" s="2">
        <f>'[72]Part 1'!$C$24</f>
        <v>30523596.149999999</v>
      </c>
      <c r="G153" s="5">
        <f t="shared" ref="G153" si="308">+E153/$E$4</f>
        <v>0.33915106833333331</v>
      </c>
      <c r="H153" s="2">
        <f t="shared" ref="H153" si="309">+E152/D152*P153</f>
        <v>117995.11064179923</v>
      </c>
      <c r="I153" s="2">
        <f>'[72]Parts 2 - 3'!$C$51</f>
        <v>81554.63</v>
      </c>
      <c r="P153" s="42">
        <f>'[72]Parts 2 - 3'!$C$49</f>
        <v>7</v>
      </c>
      <c r="Q153" s="6">
        <f t="shared" ref="Q153" si="310">IF(I153&gt;0,I153,+H153)/E152</f>
        <v>2.653969828227219E-3</v>
      </c>
      <c r="R153" s="6">
        <f t="shared" ref="R153" si="311">1-(+Q153-1)^12</f>
        <v>3.1386851343496502E-2</v>
      </c>
      <c r="S153" s="6">
        <f t="shared" ref="S153" si="312">AVERAGE(R151:R153)</f>
        <v>2.9327408631790952E-2</v>
      </c>
      <c r="T153" s="6">
        <f t="shared" si="248"/>
        <v>3.8018299472766609E-2</v>
      </c>
      <c r="U153" s="6">
        <f t="shared" si="249"/>
        <v>4.3264874325471499E-2</v>
      </c>
      <c r="V153" s="2">
        <f>'[72]Parts 4 - 6 '!$C$46</f>
        <v>0</v>
      </c>
      <c r="W153" s="2">
        <f>'[72]Parts 7-10'!$C$4</f>
        <v>29116433.990000002</v>
      </c>
      <c r="X153" s="2">
        <f>'[72]Parts 7-10'!$E$4</f>
        <v>908233.07</v>
      </c>
      <c r="Y153" s="2">
        <f>'[72]Parts 7-10'!$F$4</f>
        <v>270502.19</v>
      </c>
      <c r="Z153" s="2">
        <f>'[72]Parts 7-10'!$G$4</f>
        <v>64259.85</v>
      </c>
      <c r="AA153" s="2">
        <f>'[72]Parts 7-10'!$H$4</f>
        <v>14768.89</v>
      </c>
      <c r="AB153" s="2">
        <f>'[72]Parts 7-10'!$J$4</f>
        <v>38702.46</v>
      </c>
      <c r="AC153" s="2">
        <f>'[72]Part 11 Deemed Defaults'!$L$88</f>
        <v>0</v>
      </c>
      <c r="AD153" s="2">
        <f t="shared" si="250"/>
        <v>1838404.44</v>
      </c>
      <c r="AE153" s="4">
        <f t="shared" ref="AE153" si="313">+AD153/$E$4</f>
        <v>2.0426716000000001E-2</v>
      </c>
      <c r="AF153" s="2">
        <f>'[72]Part 11'!$V$8</f>
        <v>15166713.160000002</v>
      </c>
      <c r="AG153" s="5">
        <f t="shared" ref="AG153" si="314">+AF153/$AF$4</f>
        <v>0.19943081078238004</v>
      </c>
      <c r="AH153" s="2">
        <f t="shared" ref="AH153" si="315">+$AH$2*AF153</f>
        <v>14568420.727652863</v>
      </c>
      <c r="AI153" s="2">
        <f t="shared" si="109"/>
        <v>13950000</v>
      </c>
      <c r="AJ153" s="5">
        <f t="shared" ref="AJ153" si="316">+AI153/AI$4</f>
        <v>1</v>
      </c>
      <c r="AK153" s="4">
        <f t="shared" ref="AK153" si="317">+AF153/E153</f>
        <v>0.49688487180433366</v>
      </c>
      <c r="AL153" s="9">
        <f>'[72]Parts 4 - 6 '!$C$33</f>
        <v>193342.88018193757</v>
      </c>
      <c r="AM153" s="4">
        <f t="shared" ref="AM153" si="318">1-(+AF153-AL153)/E153</f>
        <v>0.50944933859577146</v>
      </c>
      <c r="AO153" s="8">
        <f t="shared" ref="AO153" si="319">+W153/$E153</f>
        <v>0.9538992013560631</v>
      </c>
      <c r="AP153" s="8">
        <f t="shared" ref="AP153" si="320">+X153/$E153</f>
        <v>2.9755113569735786E-2</v>
      </c>
      <c r="AQ153" s="8">
        <f t="shared" ref="AQ153" si="321">+Y153/$E153</f>
        <v>8.8620681741001222E-3</v>
      </c>
      <c r="AR153" s="8">
        <f t="shared" ref="AR153" si="322">+Z153/$E153</f>
        <v>2.1052516120385113E-3</v>
      </c>
      <c r="AS153" s="8">
        <f t="shared" ref="AS153" si="323">+AA153/$E153</f>
        <v>4.8385157264636396E-4</v>
      </c>
      <c r="AT153" s="8">
        <f t="shared" ref="AT153" si="324">+AB153/$E153</f>
        <v>1.2679521708322695E-3</v>
      </c>
    </row>
    <row r="154" spans="1:46" x14ac:dyDescent="0.25">
      <c r="A154">
        <f t="shared" si="179"/>
        <v>150</v>
      </c>
      <c r="B154" s="3">
        <f t="shared" si="201"/>
        <v>43761</v>
      </c>
      <c r="C154" s="4">
        <f>'[67]Oct-17'!$C$6</f>
        <v>0</v>
      </c>
      <c r="D154" s="41">
        <f>'[73]Part 1'!$C$20</f>
        <v>1811</v>
      </c>
      <c r="E154" s="2">
        <f>'[73]Part 1'!$C$24</f>
        <v>30325853.219999999</v>
      </c>
      <c r="G154" s="5">
        <f t="shared" ref="G154" si="325">+E154/$E$4</f>
        <v>0.33695392466666663</v>
      </c>
      <c r="H154" s="2">
        <f t="shared" ref="H154" si="326">+E153/D153*P154</f>
        <v>84040.738298458149</v>
      </c>
      <c r="I154" s="2">
        <f>'[73]Parts 2 - 3'!$C$51</f>
        <v>46681.35</v>
      </c>
      <c r="P154" s="42">
        <f>'[73]Parts 2 - 3'!$C$49</f>
        <v>5</v>
      </c>
      <c r="Q154" s="6">
        <f t="shared" ref="Q154" si="327">IF(I154&gt;0,I154,+H154)/E153</f>
        <v>1.5293528904850224E-3</v>
      </c>
      <c r="R154" s="6">
        <f t="shared" ref="R154" si="328">1-(+Q154-1)^12</f>
        <v>1.819865019469602E-2</v>
      </c>
      <c r="S154" s="6">
        <f t="shared" ref="S154" si="329">AVERAGE(R152:R154)</f>
        <v>2.3910980436951168E-2</v>
      </c>
      <c r="T154" s="6">
        <f t="shared" si="248"/>
        <v>3.46724527338515E-2</v>
      </c>
      <c r="U154" s="6">
        <f t="shared" si="249"/>
        <v>4.1350250765032584E-2</v>
      </c>
      <c r="V154" s="2">
        <f>'[73]Parts 4 - 6 '!$C$46</f>
        <v>0</v>
      </c>
      <c r="W154" s="2">
        <f>'[73]Parts 7-10'!$C$4</f>
        <v>28920333.220000003</v>
      </c>
      <c r="X154" s="2">
        <f>'[73]Parts 7-10'!$E$4</f>
        <v>826839.93</v>
      </c>
      <c r="Y154" s="2">
        <f>'[73]Parts 7-10'!$F$4</f>
        <v>311169.42</v>
      </c>
      <c r="Z154" s="2">
        <f>'[73]Parts 7-10'!$G$4</f>
        <v>80998.8</v>
      </c>
      <c r="AA154" s="2">
        <f>'[73]Parts 7-10'!$H$4</f>
        <v>37113.69</v>
      </c>
      <c r="AB154" s="2">
        <f>'[73]Parts 7-10'!$J$4</f>
        <v>0</v>
      </c>
      <c r="AC154" s="2">
        <f>'[73]Part 11 Deemed Defaults'!$L$88</f>
        <v>0</v>
      </c>
      <c r="AD154" s="2">
        <f t="shared" si="250"/>
        <v>1838404.44</v>
      </c>
      <c r="AE154" s="4">
        <f t="shared" ref="AE154" si="330">+AD154/$E$4</f>
        <v>2.0426716000000001E-2</v>
      </c>
      <c r="AF154" s="2">
        <f>'[73]Part 11'!$V$8</f>
        <v>14934020.490000004</v>
      </c>
      <c r="AG154" s="5">
        <f t="shared" ref="AG154" si="331">+AF154/$AF$4</f>
        <v>0.19637107810650892</v>
      </c>
      <c r="AH154" s="2">
        <f t="shared" ref="AH154" si="332">+$AH$2*AF154</f>
        <v>14344907.255680477</v>
      </c>
      <c r="AI154" s="2">
        <f t="shared" si="109"/>
        <v>13950000</v>
      </c>
      <c r="AJ154" s="5">
        <f t="shared" ref="AJ154" si="333">+AI154/AI$4</f>
        <v>1</v>
      </c>
      <c r="AK154" s="4">
        <f t="shared" ref="AK154" si="334">+AF154/E154</f>
        <v>0.49245178302686532</v>
      </c>
      <c r="AL154" s="9">
        <f>'[73]Parts 4 - 6 '!$C$33</f>
        <v>184089.1407114084</v>
      </c>
      <c r="AM154" s="4">
        <f t="shared" ref="AM154" si="335">1-(+AF154-AL154)/E154</f>
        <v>0.5136185866796662</v>
      </c>
      <c r="AO154" s="8">
        <f t="shared" ref="AO154" si="336">+W154/$E154</f>
        <v>0.95365274672393874</v>
      </c>
      <c r="AP154" s="8">
        <f t="shared" ref="AP154" si="337">+X154/$E154</f>
        <v>2.7265182746934104E-2</v>
      </c>
      <c r="AQ154" s="8">
        <f t="shared" ref="AQ154" si="338">+Y154/$E154</f>
        <v>1.0260862826928898E-2</v>
      </c>
      <c r="AR154" s="8">
        <f t="shared" ref="AR154" si="339">+Z154/$E154</f>
        <v>2.6709487582226056E-3</v>
      </c>
      <c r="AS154" s="8">
        <f t="shared" ref="AS154" si="340">+AA154/$E154</f>
        <v>1.2238300347481535E-3</v>
      </c>
      <c r="AT154" s="8">
        <f t="shared" ref="AT154" si="341">+AB154/$E154</f>
        <v>0</v>
      </c>
    </row>
    <row r="155" spans="1:46" x14ac:dyDescent="0.25">
      <c r="A155">
        <f t="shared" si="179"/>
        <v>151</v>
      </c>
      <c r="B155" s="3">
        <f t="shared" si="201"/>
        <v>43791</v>
      </c>
      <c r="C155" s="4">
        <f>'[67]Nov-17'!$C$6</f>
        <v>0</v>
      </c>
      <c r="D155" s="41">
        <f>'[74]Part 1'!$C$20</f>
        <v>1801</v>
      </c>
      <c r="E155" s="2">
        <f>'[74]Part 1'!$C$24</f>
        <v>30038815.039999999</v>
      </c>
      <c r="G155" s="5">
        <f t="shared" ref="G155" si="342">+E155/$E$4</f>
        <v>0.33376461155555553</v>
      </c>
      <c r="H155" s="2">
        <f t="shared" ref="H155" si="343">+E154/D154*P155</f>
        <v>167453.6345665378</v>
      </c>
      <c r="I155" s="2">
        <f>'[74]Parts 2 - 3'!$C$51</f>
        <v>157090.53</v>
      </c>
      <c r="P155" s="42">
        <f>'[74]Parts 2 - 3'!$C$49</f>
        <v>10</v>
      </c>
      <c r="Q155" s="6">
        <f t="shared" ref="Q155" si="344">IF(I155&gt;0,I155,+H155)/E154</f>
        <v>5.1800860757447139E-3</v>
      </c>
      <c r="R155" s="6">
        <f t="shared" ref="R155" si="345">1-(+Q155-1)^12</f>
        <v>6.0420261904288397E-2</v>
      </c>
      <c r="S155" s="6">
        <f t="shared" ref="S155" si="346">AVERAGE(R153:R155)</f>
        <v>3.6668587814160304E-2</v>
      </c>
      <c r="T155" s="6">
        <f t="shared" ref="T155" si="347">AVERAGE(R144:R155)</f>
        <v>3.8110737163369317E-2</v>
      </c>
      <c r="U155" s="6">
        <f t="shared" ref="U155" si="348">AVERAGE(R138:R155)</f>
        <v>4.2089825837053799E-2</v>
      </c>
      <c r="V155" s="2">
        <f>'[74]Parts 4 - 6 '!$C$46</f>
        <v>0</v>
      </c>
      <c r="W155" s="2">
        <f>'[74]Parts 7-10'!$C$4</f>
        <v>28621603.409999996</v>
      </c>
      <c r="X155" s="2">
        <f>'[74]Parts 7-10'!$E$4</f>
        <v>845013.97</v>
      </c>
      <c r="Y155" s="2">
        <f>'[74]Parts 7-10'!$F$4</f>
        <v>364533.75</v>
      </c>
      <c r="Z155" s="2">
        <f>'[74]Parts 7-10'!$G$4</f>
        <v>38125.589999999997</v>
      </c>
      <c r="AA155" s="2">
        <f>'[74]Parts 7-10'!$H$4</f>
        <v>58842.62</v>
      </c>
      <c r="AB155" s="2">
        <f>'[74]Parts 7-10'!$J$4</f>
        <v>0</v>
      </c>
      <c r="AC155" s="2">
        <f>'[74]Parts 2 - 3'!$C$19</f>
        <v>0</v>
      </c>
      <c r="AD155" s="2">
        <f t="shared" ref="AD155" si="349">+AD154+AC155</f>
        <v>1838404.44</v>
      </c>
      <c r="AE155" s="4">
        <f t="shared" ref="AE155" si="350">+AD155/$E$4</f>
        <v>2.0426716000000001E-2</v>
      </c>
      <c r="AF155" s="2">
        <f>'[74]Part 11'!$V$8</f>
        <v>14633768.610000003</v>
      </c>
      <c r="AG155" s="5">
        <f t="shared" ref="AG155" si="351">+AF155/$AF$4</f>
        <v>0.19242299289940831</v>
      </c>
      <c r="AH155" s="2">
        <f t="shared" ref="AH155" si="352">+$AH$2*AF155</f>
        <v>14056499.631301779</v>
      </c>
      <c r="AI155" s="2">
        <f t="shared" si="109"/>
        <v>13950000</v>
      </c>
      <c r="AJ155" s="5">
        <f t="shared" ref="AJ155" si="353">+AI155/AI$4</f>
        <v>1</v>
      </c>
      <c r="AK155" s="4">
        <f t="shared" ref="AK155" si="354">+AF155/E155</f>
        <v>0.48716197994206911</v>
      </c>
      <c r="AL155" s="9">
        <f>'[74]Parts 4 - 6 '!$C$33</f>
        <v>212517.33408123758</v>
      </c>
      <c r="AM155" s="4">
        <f t="shared" ref="AM155" si="355">1-(+AF155-AL155)/E155</f>
        <v>0.51991277762737065</v>
      </c>
      <c r="AO155" s="8">
        <f t="shared" ref="AO155" si="356">+W155/$E155</f>
        <v>0.95282065460595466</v>
      </c>
      <c r="AP155" s="8">
        <f t="shared" ref="AP155" si="357">+X155/$E155</f>
        <v>2.8130735812140744E-2</v>
      </c>
      <c r="AQ155" s="8">
        <f t="shared" ref="AQ155" si="358">+Y155/$E155</f>
        <v>1.2135423768034228E-2</v>
      </c>
      <c r="AR155" s="8">
        <f t="shared" ref="AR155" si="359">+Z155/$E155</f>
        <v>1.2692108510016645E-3</v>
      </c>
      <c r="AS155" s="8">
        <f t="shared" ref="AS155" si="360">+AA155/$E155</f>
        <v>1.9588861918036567E-3</v>
      </c>
      <c r="AT155" s="8">
        <f t="shared" ref="AT155" si="361">+AB155/$E155</f>
        <v>0</v>
      </c>
    </row>
    <row r="156" spans="1:46" x14ac:dyDescent="0.25">
      <c r="A156">
        <f t="shared" si="179"/>
        <v>152</v>
      </c>
      <c r="B156" s="3">
        <f t="shared" si="201"/>
        <v>43821</v>
      </c>
      <c r="C156" s="4">
        <f>'[75]Nov-19'!$C$6</f>
        <v>5.7500000000000002E-2</v>
      </c>
      <c r="D156" s="41">
        <f>'[76]Part 1'!$C$20</f>
        <v>1796</v>
      </c>
      <c r="E156" s="2">
        <f>'[76]Part 1'!$C$24</f>
        <v>29867866.870000001</v>
      </c>
      <c r="G156" s="5">
        <f t="shared" ref="G156" si="362">+E156/$E$4</f>
        <v>0.33186518744444443</v>
      </c>
      <c r="H156" s="2">
        <f t="shared" ref="H156" si="363">+E155/D155*P156</f>
        <v>83394.822431982233</v>
      </c>
      <c r="I156" s="2">
        <f>'[76]Parts 2 - 3'!$C$51</f>
        <v>39801.729999999996</v>
      </c>
      <c r="P156" s="42">
        <f>'[76]Parts 2 - 3'!$C$49</f>
        <v>5</v>
      </c>
      <c r="Q156" s="6">
        <f t="shared" ref="Q156" si="364">IF(I156&gt;0,I156,+H156)/E155</f>
        <v>1.3250099894752704E-3</v>
      </c>
      <c r="R156" s="6">
        <f t="shared" ref="R156" si="365">1-(+Q156-1)^12</f>
        <v>1.5784757130285265E-2</v>
      </c>
      <c r="S156" s="6">
        <f t="shared" ref="S156" si="366">AVERAGE(R154:R156)</f>
        <v>3.1467889743089894E-2</v>
      </c>
      <c r="T156" s="6">
        <f t="shared" ref="T156" si="367">AVERAGE(R145:R156)</f>
        <v>3.6343787430208802E-2</v>
      </c>
      <c r="U156" s="6">
        <f t="shared" ref="U156" si="368">AVERAGE(R139:R156)</f>
        <v>4.1013775412405494E-2</v>
      </c>
      <c r="V156" s="2">
        <f>'[76]Parts 4 - 6 '!$C$46</f>
        <v>0</v>
      </c>
      <c r="W156" s="2">
        <f>'[76]Parts 7-10'!$C$4</f>
        <v>28259297.960000001</v>
      </c>
      <c r="X156" s="2">
        <f>'[76]Parts 7-10'!$E$4</f>
        <v>846623.61</v>
      </c>
      <c r="Y156" s="2">
        <f>'[76]Parts 7-10'!$F$4</f>
        <v>343769.49</v>
      </c>
      <c r="Z156" s="2">
        <f>'[76]Parts 7-10'!$G$4</f>
        <v>210511.9</v>
      </c>
      <c r="AA156" s="2">
        <f>'[76]Parts 7-10'!$H$4</f>
        <v>38125.589999999997</v>
      </c>
      <c r="AB156" s="2">
        <f>'[76]Parts 7-10'!$J$4</f>
        <v>58842.62</v>
      </c>
      <c r="AC156" s="2">
        <f>'[76]Parts 2 - 3'!$C$19</f>
        <v>0</v>
      </c>
      <c r="AD156" s="2">
        <f t="shared" ref="AD156" si="369">+AD155+AC156</f>
        <v>1838404.44</v>
      </c>
      <c r="AE156" s="4">
        <f t="shared" ref="AE156" si="370">+AD156/$E$4</f>
        <v>2.0426716000000001E-2</v>
      </c>
      <c r="AF156" s="2">
        <f>'[76]Part 11'!$V$8</f>
        <v>14440679.950000005</v>
      </c>
      <c r="AG156" s="5">
        <f t="shared" ref="AG156:AG162" si="371">+AF156/$AF$4</f>
        <v>0.18988402301117693</v>
      </c>
      <c r="AH156" s="2">
        <f t="shared" ref="AH156" si="372">+$AH$2*AF156</f>
        <v>13871027.880966475</v>
      </c>
      <c r="AI156" s="2">
        <f t="shared" si="109"/>
        <v>13950000</v>
      </c>
      <c r="AJ156" s="5">
        <f t="shared" ref="AJ156" si="373">+AI156/AI$4</f>
        <v>1</v>
      </c>
      <c r="AK156" s="4">
        <f t="shared" ref="AK156" si="374">+AF156/E156</f>
        <v>0.48348547999269975</v>
      </c>
      <c r="AL156" s="9">
        <f>'[76]Parts 4 - 6 '!$C$33</f>
        <v>177620.4152056688</v>
      </c>
      <c r="AM156" s="4">
        <f t="shared" ref="AM156" si="375">1-(+AF156-AL156)/E156</f>
        <v>0.52246139314620776</v>
      </c>
      <c r="AO156" s="8">
        <f t="shared" ref="AO156" si="376">+W156/$E156</f>
        <v>0.94614383019044168</v>
      </c>
      <c r="AP156" s="8">
        <f t="shared" ref="AP156" si="377">+X156/$E156</f>
        <v>2.8345633576208583E-2</v>
      </c>
      <c r="AQ156" s="8">
        <f t="shared" ref="AQ156" si="378">+Y156/$E156</f>
        <v>1.1509676653383314E-2</v>
      </c>
      <c r="AR156" s="8">
        <f t="shared" ref="AR156" si="379">+Z156/$E156</f>
        <v>7.048106278103281E-3</v>
      </c>
      <c r="AS156" s="8">
        <f t="shared" ref="AS156" si="380">+AA156/$E156</f>
        <v>1.2764751552543664E-3</v>
      </c>
      <c r="AT156" s="8">
        <f t="shared" ref="AT156" si="381">+AB156/$E156</f>
        <v>1.9700978397992975E-3</v>
      </c>
    </row>
    <row r="157" spans="1:46" x14ac:dyDescent="0.25">
      <c r="A157">
        <f t="shared" si="179"/>
        <v>153</v>
      </c>
      <c r="B157" s="3">
        <f t="shared" si="201"/>
        <v>43851</v>
      </c>
      <c r="C157" s="4">
        <v>5.7500000000000002E-2</v>
      </c>
      <c r="D157" s="41">
        <f>'[77]Part 1'!$C$20</f>
        <v>1792</v>
      </c>
      <c r="E157" s="2">
        <f>'[77]Part 1'!$C$24</f>
        <v>29638522.149999999</v>
      </c>
      <c r="G157" s="5">
        <f t="shared" ref="G157" si="382">+E157/$E$4</f>
        <v>0.32931691277777775</v>
      </c>
      <c r="H157" s="2">
        <f t="shared" ref="H157" si="383">+E156/D156*P157</f>
        <v>66520.861625835198</v>
      </c>
      <c r="I157" s="2">
        <f>'[77]Parts 2 - 3'!$C$51</f>
        <v>81099.72</v>
      </c>
      <c r="P157" s="42">
        <f>'[78]Parts 2 - 3'!$C$49</f>
        <v>4</v>
      </c>
      <c r="Q157" s="6">
        <f t="shared" ref="Q157" si="384">IF(I157&gt;0,I157,+H157)/E156</f>
        <v>2.715283296024682E-3</v>
      </c>
      <c r="R157" s="6">
        <f t="shared" ref="R157" si="385">1-(+Q157-1)^12</f>
        <v>3.2101174589938442E-2</v>
      </c>
      <c r="S157" s="6">
        <f t="shared" ref="S157" si="386">AVERAGE(R155:R157)</f>
        <v>3.6102064541504032E-2</v>
      </c>
      <c r="T157" s="6">
        <f t="shared" ref="T157" si="387">AVERAGE(R146:R157)</f>
        <v>3.6584696349819645E-2</v>
      </c>
      <c r="U157" s="6">
        <f t="shared" ref="U157" si="388">AVERAGE(R140:R157)</f>
        <v>4.0787950503283356E-2</v>
      </c>
      <c r="V157" s="2">
        <f>'[77]Parts 4 - 6 '!$C$46</f>
        <v>1786.4055000000001</v>
      </c>
      <c r="W157" s="2">
        <f>'[77]Parts 7-10'!$C$4</f>
        <v>28165755.219999999</v>
      </c>
      <c r="X157" s="2">
        <f>'[77]Parts 7-10'!$E$4</f>
        <v>843121.42</v>
      </c>
      <c r="Y157" s="2">
        <f>'[78]Parts 7-10'!$F$4</f>
        <v>355126.27</v>
      </c>
      <c r="Z157" s="2">
        <f>'[78]Parts 7-10'!$G$4</f>
        <v>32718.27</v>
      </c>
      <c r="AA157" s="2">
        <f>'[78]Parts 7-10'!$H$4</f>
        <v>87034.87</v>
      </c>
      <c r="AB157" s="2">
        <f>'[78]Parts 7-10'!$J$4</f>
        <v>0</v>
      </c>
      <c r="AC157" s="2">
        <f>'[77]Parts 2 - 3'!$C$19</f>
        <v>20140.16</v>
      </c>
      <c r="AD157" s="2">
        <f t="shared" ref="AD157" si="389">+AD156+AC157</f>
        <v>1858544.5999999999</v>
      </c>
      <c r="AE157" s="4">
        <f t="shared" ref="AE157" si="390">+AD157/$E$4</f>
        <v>2.0650495555555554E-2</v>
      </c>
      <c r="AF157" s="2">
        <f>'[77]Part 11'!$V$8</f>
        <v>14167011.910000006</v>
      </c>
      <c r="AG157" s="5">
        <f t="shared" si="371"/>
        <v>0.18628549520052604</v>
      </c>
      <c r="AH157" s="2">
        <f t="shared" ref="AH157" si="391">+$AH$2*AF157</f>
        <v>13608155.424398428</v>
      </c>
      <c r="AI157" s="2">
        <f t="shared" si="109"/>
        <v>13950000</v>
      </c>
      <c r="AJ157" s="5">
        <f t="shared" ref="AJ157" si="392">+AI157/AI$4</f>
        <v>1</v>
      </c>
      <c r="AK157" s="4">
        <f t="shared" ref="AK157" si="393">+AF157/E157</f>
        <v>0.47799319541983326</v>
      </c>
      <c r="AL157" s="9">
        <f>'[77]Parts 4 - 6 '!$C$33</f>
        <v>175276.76136811468</v>
      </c>
      <c r="AM157" s="4">
        <f t="shared" ref="AM157" si="394">1-(+AF157-AL157)/E157</f>
        <v>0.52792062040678056</v>
      </c>
      <c r="AO157" s="8">
        <f t="shared" ref="AO157" si="395">+W157/$E157</f>
        <v>0.95030902949390139</v>
      </c>
      <c r="AP157" s="8">
        <f t="shared" ref="AP157" si="396">+X157/$E157</f>
        <v>2.8446810395369192E-2</v>
      </c>
      <c r="AQ157" s="8">
        <f t="shared" ref="AQ157" si="397">+Y157/$E157</f>
        <v>1.1981915569295686E-2</v>
      </c>
      <c r="AR157" s="8">
        <f t="shared" ref="AR157" si="398">+Z157/$E157</f>
        <v>1.1039103041107603E-3</v>
      </c>
      <c r="AS157" s="8">
        <f t="shared" ref="AS157" si="399">+AA157/$E157</f>
        <v>2.9365455389279592E-3</v>
      </c>
      <c r="AT157" s="8">
        <f t="shared" ref="AT157" si="400">+AB157/$E157</f>
        <v>0</v>
      </c>
    </row>
    <row r="158" spans="1:46" x14ac:dyDescent="0.25">
      <c r="A158">
        <f t="shared" si="179"/>
        <v>154</v>
      </c>
      <c r="B158" s="3">
        <f t="shared" si="201"/>
        <v>43881</v>
      </c>
      <c r="C158" s="4">
        <v>5.7500000000000002E-2</v>
      </c>
      <c r="D158" s="41">
        <f>'[79]Part 1'!$C$20</f>
        <v>1789</v>
      </c>
      <c r="E158" s="2">
        <f>'[79]Part 1'!$C$24</f>
        <v>29463230.52</v>
      </c>
      <c r="G158" s="5">
        <f t="shared" ref="G158" si="401">+E158/$E$4</f>
        <v>0.32736922800000001</v>
      </c>
      <c r="H158" s="2">
        <f t="shared" ref="H158" si="402">+E157/D157*P158</f>
        <v>49618.061635044643</v>
      </c>
      <c r="I158" s="2">
        <f>'[79]Parts 2 - 3'!$C$51</f>
        <v>51261.33</v>
      </c>
      <c r="P158" s="42">
        <f>'[80]Parts 2 - 3'!$C$49</f>
        <v>3</v>
      </c>
      <c r="Q158" s="6">
        <f t="shared" ref="Q158:Q163" si="403">IF(I158&gt;0,I158,+H158)/E157</f>
        <v>1.7295508102788454E-3</v>
      </c>
      <c r="R158" s="6">
        <f t="shared" ref="R158:R164" si="404">1-(+Q158-1)^12</f>
        <v>2.055831468057101E-2</v>
      </c>
      <c r="S158" s="6">
        <f t="shared" ref="S158" si="405">AVERAGE(R156:R158)</f>
        <v>2.2814748800264906E-2</v>
      </c>
      <c r="T158" s="6">
        <f t="shared" ref="T158" si="406">AVERAGE(R147:R158)</f>
        <v>3.3089158313916074E-2</v>
      </c>
      <c r="U158" s="6">
        <f t="shared" ref="U158:U163" si="407">AVERAGE(R141:R158)</f>
        <v>3.8977508475703589E-2</v>
      </c>
      <c r="V158" s="2">
        <f>'[79]Parts 4 - 6 '!$C$46</f>
        <v>0</v>
      </c>
      <c r="W158" s="2">
        <f>'[79]Parts 7-10'!$C$4</f>
        <v>27942978.029999997</v>
      </c>
      <c r="X158" s="2">
        <f>'[79]Parts 7-10'!$E$4</f>
        <v>938758.37</v>
      </c>
      <c r="Y158" s="2">
        <f>'[80]Parts 7-10'!$F$4</f>
        <v>336699.29</v>
      </c>
      <c r="Z158" s="2">
        <f>'[80]Parts 7-10'!$G$4</f>
        <v>32706.87</v>
      </c>
      <c r="AA158" s="2">
        <f>'[80]Parts 7-10'!$H$4</f>
        <v>30847.53</v>
      </c>
      <c r="AB158" s="2">
        <f>'[80]Parts 7-10'!$J$4</f>
        <v>72955.759999999995</v>
      </c>
      <c r="AC158" s="2">
        <f>'[81]Parts 2 - 3'!$C$19</f>
        <v>0</v>
      </c>
      <c r="AD158" s="2">
        <f t="shared" ref="AD158" si="408">+AD157+AC158</f>
        <v>1858544.5999999999</v>
      </c>
      <c r="AE158" s="4">
        <f t="shared" ref="AE158" si="409">+AD158/$E$4</f>
        <v>2.0650495555555554E-2</v>
      </c>
      <c r="AF158" s="2">
        <f>'[79]Part 11'!$V$8</f>
        <v>13967217.860000005</v>
      </c>
      <c r="AG158" s="5">
        <f t="shared" si="371"/>
        <v>0.18365835450361612</v>
      </c>
      <c r="AH158" s="2">
        <f t="shared" ref="AH158" si="410">+$AH$2*AF158</f>
        <v>13416242.796489157</v>
      </c>
      <c r="AI158" s="2">
        <f t="shared" si="109"/>
        <v>13950000</v>
      </c>
      <c r="AJ158" s="5">
        <f t="shared" ref="AJ158" si="411">+AI158/AI$4</f>
        <v>1</v>
      </c>
      <c r="AK158" s="4">
        <f t="shared" ref="AK158" si="412">+AF158/E158</f>
        <v>0.4740558863875734</v>
      </c>
      <c r="AL158" s="9">
        <f>'[79]Parts 4 - 6 '!$C$33</f>
        <v>195672.99762443133</v>
      </c>
      <c r="AM158" s="4">
        <f t="shared" ref="AM158" si="413">1-(+AF158-AL158)/E158</f>
        <v>0.53258537440328269</v>
      </c>
      <c r="AO158" s="8">
        <f t="shared" ref="AO158" si="414">+W158/$E158</f>
        <v>0.94840170398259493</v>
      </c>
      <c r="AP158" s="8">
        <f t="shared" ref="AP158" si="415">+X158/$E158</f>
        <v>3.1862031197249716E-2</v>
      </c>
      <c r="AQ158" s="8">
        <f t="shared" ref="AQ158" si="416">+Y158/$E158</f>
        <v>1.1427779101529426E-2</v>
      </c>
      <c r="AR158" s="8">
        <f t="shared" ref="AR158" si="417">+Z158/$E158</f>
        <v>1.110091100763651E-3</v>
      </c>
      <c r="AS158" s="8">
        <f t="shared" ref="AS158" si="418">+AA158/$E158</f>
        <v>1.0469839680024334E-3</v>
      </c>
      <c r="AT158" s="8">
        <f t="shared" ref="AT158" si="419">+AB158/$E158</f>
        <v>2.4761629567564471E-3</v>
      </c>
    </row>
    <row r="159" spans="1:46" x14ac:dyDescent="0.25">
      <c r="A159">
        <f t="shared" si="179"/>
        <v>155</v>
      </c>
      <c r="B159" s="3">
        <f t="shared" si="201"/>
        <v>43911</v>
      </c>
      <c r="C159" s="4">
        <v>5.7500000000000002E-2</v>
      </c>
      <c r="D159" s="41">
        <f>'[82]Part 1'!$C$20</f>
        <v>1786</v>
      </c>
      <c r="E159" s="2">
        <f>'[82]Part 1'!$C$24</f>
        <v>29306100.390000001</v>
      </c>
      <c r="G159" s="5">
        <f t="shared" ref="G159" si="420">+E159/$E$4</f>
        <v>0.32562333766666668</v>
      </c>
      <c r="H159" s="2">
        <f t="shared" ref="H159" si="421">+E158/D158*P159</f>
        <v>49407.317808831751</v>
      </c>
      <c r="I159" s="2">
        <f>'[82]Parts 2 - 3'!$C$51</f>
        <v>39999.769999999997</v>
      </c>
      <c r="P159" s="42">
        <f>'[83]Parts 2 - 3'!$C$49</f>
        <v>3</v>
      </c>
      <c r="Q159" s="6">
        <f t="shared" si="403"/>
        <v>1.357616571368427E-3</v>
      </c>
      <c r="R159" s="6">
        <f t="shared" si="404"/>
        <v>1.6170301572561496E-2</v>
      </c>
      <c r="S159" s="6">
        <f t="shared" ref="S159" si="422">AVERAGE(R157:R159)</f>
        <v>2.2943263614356984E-2</v>
      </c>
      <c r="T159" s="6">
        <f t="shared" ref="T159" si="423">AVERAGE(R148:R159)</f>
        <v>3.0737885143484151E-2</v>
      </c>
      <c r="U159" s="6">
        <f t="shared" si="407"/>
        <v>3.4414058541418886E-2</v>
      </c>
      <c r="V159" s="2">
        <f>'[82]Parts 4 - 6 '!$C$46</f>
        <v>0</v>
      </c>
      <c r="W159" s="2">
        <f>'[82]Parts 7-10'!$C$4</f>
        <v>27639394.43</v>
      </c>
      <c r="X159" s="2">
        <f>'[82]Parts 7-10'!$E$4</f>
        <v>1012096.08</v>
      </c>
      <c r="Y159" s="2">
        <f>'[82]Parts 7-10'!$F$4</f>
        <v>285526.03999999998</v>
      </c>
      <c r="Z159" s="2">
        <f>'[82]Parts 7-10'!$G$4</f>
        <v>159405.12</v>
      </c>
      <c r="AA159" s="2">
        <f>'[82]Parts 7-10'!$H$4</f>
        <v>12362.98</v>
      </c>
      <c r="AB159" s="2">
        <f>'[82]Parts 7-10'!$J$4</f>
        <v>45720.42</v>
      </c>
      <c r="AC159" s="2">
        <f>'[84]Parts 2 - 3'!$C$19</f>
        <v>43310.65</v>
      </c>
      <c r="AD159" s="2">
        <f t="shared" ref="AD159" si="424">+AD158+AC159</f>
        <v>1901855.2499999998</v>
      </c>
      <c r="AE159" s="4">
        <f t="shared" ref="AE159" si="425">+AD159/$E$4</f>
        <v>2.1131724999999997E-2</v>
      </c>
      <c r="AF159" s="2">
        <f>'[82]Part 11'!$V$8</f>
        <v>13734165.590000007</v>
      </c>
      <c r="AG159" s="5">
        <f t="shared" si="371"/>
        <v>0.18059389335963191</v>
      </c>
      <c r="AH159" s="2">
        <f t="shared" ref="AH159" si="426">+$AH$2*AF159</f>
        <v>13192383.909921112</v>
      </c>
      <c r="AI159" s="2">
        <f t="shared" si="109"/>
        <v>13950000</v>
      </c>
      <c r="AJ159" s="5">
        <f t="shared" ref="AJ159" si="427">+AI159/AI$4</f>
        <v>1</v>
      </c>
      <c r="AK159" s="4">
        <f t="shared" ref="AK159" si="428">+AF159/E159</f>
        <v>0.46864527887464891</v>
      </c>
      <c r="AL159" s="9">
        <f>'[82]Parts 4 - 6 '!$C$33</f>
        <v>173025.7115024376</v>
      </c>
      <c r="AM159" s="4">
        <f t="shared" ref="AM159" si="429">1-(+AF159-AL159)/E159</f>
        <v>0.53725880625438038</v>
      </c>
      <c r="AO159" s="8">
        <f t="shared" ref="AO159" si="430">+W159/$E159</f>
        <v>0.94312767861230951</v>
      </c>
      <c r="AP159" s="8">
        <f t="shared" ref="AP159" si="431">+X159/$E159</f>
        <v>3.4535337917062252E-2</v>
      </c>
      <c r="AQ159" s="8">
        <f t="shared" ref="AQ159" si="432">+Y159/$E159</f>
        <v>9.7428875285443597E-3</v>
      </c>
      <c r="AR159" s="8">
        <f t="shared" ref="AR159" si="433">+Z159/$E159</f>
        <v>5.4393152919926923E-3</v>
      </c>
      <c r="AS159" s="8">
        <f t="shared" ref="AS159" si="434">+AA159/$E159</f>
        <v>4.2185687742401129E-4</v>
      </c>
      <c r="AT159" s="8">
        <f t="shared" ref="AT159" si="435">+AB159/$E159</f>
        <v>1.5600990712364101E-3</v>
      </c>
    </row>
    <row r="160" spans="1:46" x14ac:dyDescent="0.25">
      <c r="A160">
        <f t="shared" si="179"/>
        <v>156</v>
      </c>
      <c r="B160" s="3">
        <f t="shared" si="201"/>
        <v>43941</v>
      </c>
      <c r="C160" s="4">
        <v>5.7500000000000002E-2</v>
      </c>
      <c r="D160" s="41">
        <f>'[85]Part 1'!$C$20</f>
        <v>1785</v>
      </c>
      <c r="E160" s="2">
        <f>'[85]Part 1'!$C$24</f>
        <v>29034328.48</v>
      </c>
      <c r="G160" s="5">
        <f t="shared" ref="G160" si="436">+E160/$E$4</f>
        <v>0.32260364977777778</v>
      </c>
      <c r="H160" s="2">
        <f t="shared" ref="H160" si="437">+E159/D159*P160</f>
        <v>0</v>
      </c>
      <c r="I160" s="2">
        <f>'[85]Parts 2 - 3'!$C$51</f>
        <v>0</v>
      </c>
      <c r="P160" s="42">
        <f>'[86]Parts 2 - 3'!$C$49</f>
        <v>0</v>
      </c>
      <c r="Q160" s="6">
        <f t="shared" si="403"/>
        <v>0</v>
      </c>
      <c r="R160" s="6">
        <f t="shared" si="404"/>
        <v>0</v>
      </c>
      <c r="S160" s="6">
        <f t="shared" ref="S160" si="438">AVERAGE(R158:R160)</f>
        <v>1.2242872084377502E-2</v>
      </c>
      <c r="T160" s="6">
        <f t="shared" ref="T160" si="439">AVERAGE(R149:R160)</f>
        <v>2.765147379092801E-2</v>
      </c>
      <c r="U160" s="6">
        <f t="shared" si="407"/>
        <v>3.1172457926881256E-2</v>
      </c>
      <c r="V160" s="2">
        <f>'[85]Parts 4 - 6 '!$C$59</f>
        <v>0</v>
      </c>
      <c r="W160" s="2">
        <f>'[85]Parts 7-10'!$C$4</f>
        <v>27955619.550000001</v>
      </c>
      <c r="X160" s="2">
        <f>'[85]Parts 7-10'!$E$4</f>
        <v>664931.77</v>
      </c>
      <c r="Y160" s="2">
        <f>'[85]Parts 7-10'!$F$4</f>
        <v>229844.09</v>
      </c>
      <c r="Z160" s="2">
        <f>'[85]Parts 7-10'!$G$4</f>
        <v>92145.62</v>
      </c>
      <c r="AA160" s="2">
        <f>'[85]Parts 7-10'!$H$4</f>
        <v>45960.55</v>
      </c>
      <c r="AB160" s="2">
        <f>'[85]Parts 7-10'!$J$4</f>
        <v>16075.31</v>
      </c>
      <c r="AC160" s="2">
        <f>'[87]Parts 2 - 3'!$C$19</f>
        <v>9504.9500000000007</v>
      </c>
      <c r="AD160" s="2">
        <f t="shared" ref="AD160" si="440">+AD159+AC160</f>
        <v>1911360.1999999997</v>
      </c>
      <c r="AE160" s="4">
        <f t="shared" ref="AE160" si="441">+AD160/$E$4</f>
        <v>2.1237335555555552E-2</v>
      </c>
      <c r="AF160" s="2">
        <f>'[85]Part 11'!$V$8</f>
        <v>13414803.910000006</v>
      </c>
      <c r="AG160" s="5">
        <f t="shared" si="371"/>
        <v>0.17639452873109804</v>
      </c>
      <c r="AH160" s="2">
        <f t="shared" ref="AH160" si="442">+$AH$2*AF160</f>
        <v>12885620.323806712</v>
      </c>
      <c r="AI160" s="2">
        <f t="shared" si="109"/>
        <v>13950000</v>
      </c>
      <c r="AJ160" s="5">
        <f t="shared" ref="AJ160" si="443">+AI160/AI$4</f>
        <v>1</v>
      </c>
      <c r="AK160" s="4">
        <f t="shared" ref="AK160" si="444">+AF160/E160</f>
        <v>0.46203251848034493</v>
      </c>
      <c r="AL160" s="9">
        <f>'[85]Parts 4 - 6 '!$C$46</f>
        <v>190328.28265268137</v>
      </c>
      <c r="AM160" s="4">
        <f t="shared" ref="AM160" si="445">1-(+AF160-AL160)/E160</f>
        <v>0.54452276599209559</v>
      </c>
      <c r="AO160" s="8">
        <f t="shared" ref="AO160" si="446">+W160/$E160</f>
        <v>0.96284711972095183</v>
      </c>
      <c r="AP160" s="8">
        <f t="shared" ref="AP160" si="447">+X160/$E160</f>
        <v>2.2901572201266217E-2</v>
      </c>
      <c r="AQ160" s="8">
        <f t="shared" ref="AQ160" si="448">+Y160/$E160</f>
        <v>7.916287444303241E-3</v>
      </c>
      <c r="AR160" s="8">
        <f t="shared" ref="AR160" si="449">+Z160/$E160</f>
        <v>3.1736783602029426E-3</v>
      </c>
      <c r="AS160" s="8">
        <f t="shared" ref="AS160" si="450">+AA160/$E160</f>
        <v>1.5829727225018984E-3</v>
      </c>
      <c r="AT160" s="8">
        <f t="shared" ref="AT160" si="451">+AB160/$E160</f>
        <v>5.5366563793866669E-4</v>
      </c>
    </row>
    <row r="161" spans="1:46" x14ac:dyDescent="0.25">
      <c r="A161">
        <f t="shared" si="179"/>
        <v>157</v>
      </c>
      <c r="B161" s="3">
        <f t="shared" si="201"/>
        <v>43971</v>
      </c>
      <c r="C161" s="4">
        <v>5.7500000000000002E-2</v>
      </c>
      <c r="D161" s="41">
        <f>'[88]Part 1'!$C$20</f>
        <v>1785</v>
      </c>
      <c r="E161" s="2">
        <f>'[88]Part 1'!$C$24</f>
        <v>29034328.48</v>
      </c>
      <c r="G161" s="5">
        <f t="shared" ref="G161" si="452">+E161/$E$4</f>
        <v>0.32260364977777778</v>
      </c>
      <c r="H161" s="2">
        <f t="shared" ref="H161" si="453">+E160/D160*P161</f>
        <v>0</v>
      </c>
      <c r="I161" s="2">
        <f>'[88]Parts 2 - 3'!$C$51</f>
        <v>0</v>
      </c>
      <c r="P161" s="42">
        <f>'[89]Parts 2 - 3'!$C$49</f>
        <v>0</v>
      </c>
      <c r="Q161" s="6">
        <f t="shared" si="403"/>
        <v>0</v>
      </c>
      <c r="R161" s="6">
        <f t="shared" si="404"/>
        <v>0</v>
      </c>
      <c r="S161" s="6">
        <f t="shared" ref="S161" si="454">AVERAGE(R159:R161)</f>
        <v>5.3901005241871651E-3</v>
      </c>
      <c r="T161" s="6">
        <f t="shared" ref="T161" si="455">AVERAGE(R150:R161)</f>
        <v>2.3150676480827238E-2</v>
      </c>
      <c r="U161" s="6">
        <f t="shared" si="407"/>
        <v>3.0107966329654887E-2</v>
      </c>
      <c r="V161" s="2">
        <f>'[88]Parts 4 - 6 '!$C$59</f>
        <v>0</v>
      </c>
      <c r="W161" s="2">
        <f>'[88]Parts 7-10'!$C$4</f>
        <v>27811444.270000003</v>
      </c>
      <c r="X161" s="2">
        <f>'[88]Parts 7-10'!$E$4</f>
        <v>654913.56999999995</v>
      </c>
      <c r="Y161" s="2">
        <f>'[88]Parts 7-10'!$F$4</f>
        <v>252729.35</v>
      </c>
      <c r="Z161" s="2">
        <f>'[88]Parts 7-10'!$G$4</f>
        <v>92105.16</v>
      </c>
      <c r="AA161" s="2">
        <f>'[88]Parts 7-10'!$H$4</f>
        <v>45960.55</v>
      </c>
      <c r="AB161" s="2">
        <f>'[88]Parts 7-10'!$J$4</f>
        <v>16075.31</v>
      </c>
      <c r="AC161" s="2">
        <f>'[90]Parts 2 - 3'!$C$19</f>
        <v>0</v>
      </c>
      <c r="AD161" s="2">
        <f t="shared" ref="AD161" si="456">+AD160+AC161</f>
        <v>1911360.1999999997</v>
      </c>
      <c r="AE161" s="4">
        <f t="shared" ref="AE161" si="457">+AD161/$E$4</f>
        <v>2.1237335555555552E-2</v>
      </c>
      <c r="AF161" s="2">
        <f>'[88]Part 11'!$V$8</f>
        <v>13414803.910000006</v>
      </c>
      <c r="AG161" s="5">
        <f t="shared" si="371"/>
        <v>0.17639452873109804</v>
      </c>
      <c r="AH161" s="2">
        <f t="shared" ref="AH161" si="458">+$AH$2*AF161</f>
        <v>12885620.323806712</v>
      </c>
      <c r="AI161" s="2">
        <f t="shared" si="109"/>
        <v>13950000</v>
      </c>
      <c r="AJ161" s="5">
        <f t="shared" ref="AJ161" si="459">+AI161/AI$4</f>
        <v>1</v>
      </c>
      <c r="AK161" s="4">
        <f t="shared" ref="AK161" si="460">+AF161/E161</f>
        <v>0.46203251848034493</v>
      </c>
      <c r="AL161" s="9">
        <f>'[88]Parts 4 - 6 '!$C$46</f>
        <v>165174.43372021674</v>
      </c>
      <c r="AM161" s="4">
        <f t="shared" ref="AM161" si="461">1-(+AF161-AL161)/E161</f>
        <v>0.54365641742302873</v>
      </c>
      <c r="AO161" s="8">
        <f t="shared" ref="AO161" si="462">+W161/$E161</f>
        <v>0.95788143642301327</v>
      </c>
      <c r="AP161" s="8">
        <f t="shared" ref="AP161" si="463">+X161/$E161</f>
        <v>2.2556525474702487E-2</v>
      </c>
      <c r="AQ161" s="8">
        <f t="shared" ref="AQ161" si="464">+Y161/$E161</f>
        <v>8.7045013000417778E-3</v>
      </c>
      <c r="AR161" s="8">
        <f t="shared" ref="AR161" si="465">+Z161/$E161</f>
        <v>3.1722848373588425E-3</v>
      </c>
      <c r="AS161" s="8">
        <f t="shared" ref="AS161" si="466">+AA161/$E161</f>
        <v>1.5829727225018984E-3</v>
      </c>
      <c r="AT161" s="8">
        <f t="shared" ref="AT161" si="467">+AB161/$E161</f>
        <v>5.5366563793866669E-4</v>
      </c>
    </row>
    <row r="162" spans="1:46" x14ac:dyDescent="0.25">
      <c r="A162">
        <f t="shared" si="179"/>
        <v>158</v>
      </c>
      <c r="B162" s="3">
        <f t="shared" si="201"/>
        <v>44001</v>
      </c>
      <c r="C162" s="4">
        <v>5.7500000000000002E-2</v>
      </c>
      <c r="D162" s="41">
        <f>'[91]Part 1'!$C$20</f>
        <v>1783</v>
      </c>
      <c r="E162" s="2">
        <f>'[91]Part 1'!$C$24</f>
        <v>28885778.079999998</v>
      </c>
      <c r="G162" s="5">
        <f t="shared" ref="G162" si="468">+E162/$E$4</f>
        <v>0.32095308977777776</v>
      </c>
      <c r="H162" s="2">
        <f t="shared" ref="H162" si="469">+E161/D161*P162</f>
        <v>32531.460481792717</v>
      </c>
      <c r="I162" s="2">
        <f>'[91]Parts 2 - 3'!$C$51</f>
        <v>800.72</v>
      </c>
      <c r="P162" s="42">
        <f>'[92]Parts 2 - 3'!$C$49</f>
        <v>2</v>
      </c>
      <c r="Q162" s="6">
        <f t="shared" si="403"/>
        <v>2.7578388821755177E-5</v>
      </c>
      <c r="R162" s="6">
        <f t="shared" si="404"/>
        <v>3.3089047301837482E-4</v>
      </c>
      <c r="S162" s="6">
        <f t="shared" ref="S162" si="470">AVERAGE(R160:R162)</f>
        <v>1.1029682433945827E-4</v>
      </c>
      <c r="T162" s="6">
        <f t="shared" ref="T162" si="471">AVERAGE(R151:R162)</f>
        <v>2.0962214703394322E-2</v>
      </c>
      <c r="U162" s="6">
        <f t="shared" si="407"/>
        <v>2.8071451693255273E-2</v>
      </c>
      <c r="V162" s="2">
        <v>0</v>
      </c>
      <c r="W162" s="2">
        <f>'[91]Parts 7-10'!$C$4</f>
        <v>27696611.969999999</v>
      </c>
      <c r="X162" s="2">
        <f>'[91]Parts 7-10'!$E$4</f>
        <v>635982.32999999996</v>
      </c>
      <c r="Y162" s="2">
        <f>'[91]Parts 7-10'!$F$4</f>
        <v>252594.4</v>
      </c>
      <c r="Z162" s="2">
        <f>'[91]Parts 7-10'!$G$4</f>
        <v>77453.25</v>
      </c>
      <c r="AA162" s="2">
        <f>'[91]Parts 7-10'!$H$4</f>
        <v>45960.55</v>
      </c>
      <c r="AB162" s="2">
        <f>'[91]Parts 7-10'!$J$4</f>
        <v>16075.31</v>
      </c>
      <c r="AC162" s="2">
        <f>'[93]Parts 2 - 3'!$C$19</f>
        <v>0</v>
      </c>
      <c r="AD162" s="2">
        <f t="shared" ref="AD162" si="472">+AD161+AC162</f>
        <v>1911360.1999999997</v>
      </c>
      <c r="AE162" s="4">
        <f t="shared" ref="AE162" si="473">+AD162/$E$4</f>
        <v>2.1237335555555552E-2</v>
      </c>
      <c r="AF162" s="2">
        <f>'[91]Part 11'!$V$8</f>
        <v>13231239.270000005</v>
      </c>
      <c r="AG162" s="5">
        <f t="shared" si="371"/>
        <v>0.17398079250493104</v>
      </c>
      <c r="AH162" s="2">
        <f t="shared" ref="AH162" si="474">+$AH$2*AF162</f>
        <v>12709296.892485213</v>
      </c>
      <c r="AI162" s="2">
        <f t="shared" si="109"/>
        <v>13950000</v>
      </c>
      <c r="AJ162" s="5">
        <f t="shared" ref="AJ162" si="475">+AI162/AI$4</f>
        <v>1</v>
      </c>
      <c r="AK162" s="4">
        <f t="shared" ref="AK162" si="476">+AF162/E162</f>
        <v>0.45805376034378248</v>
      </c>
      <c r="AL162" s="9">
        <f>'[91]Parts 4 - 6 '!$C$46</f>
        <v>162824.97720843967</v>
      </c>
      <c r="AM162" s="4">
        <f t="shared" ref="AM162" si="477">1-(+AF162-AL162)/E162</f>
        <v>0.54758309585436082</v>
      </c>
      <c r="AO162" s="8">
        <f t="shared" ref="AO162" si="478">+W162/$E162</f>
        <v>0.95883212469795454</v>
      </c>
      <c r="AP162" s="8">
        <f t="shared" ref="AP162" si="479">+X162/$E162</f>
        <v>2.2017143808230766E-2</v>
      </c>
      <c r="AQ162" s="8">
        <f t="shared" ref="AQ162" si="480">+Y162/$E162</f>
        <v>8.7445939417118181E-3</v>
      </c>
      <c r="AR162" s="8">
        <f t="shared" ref="AR162" si="481">+Z162/$E162</f>
        <v>2.6813627725550955E-3</v>
      </c>
      <c r="AS162" s="8">
        <f t="shared" ref="AS162" si="482">+AA162/$E162</f>
        <v>1.5911134494182892E-3</v>
      </c>
      <c r="AT162" s="8">
        <f t="shared" ref="AT162" si="483">+AB162/$E162</f>
        <v>5.5651296480499718E-4</v>
      </c>
    </row>
    <row r="163" spans="1:46" x14ac:dyDescent="0.25">
      <c r="A163">
        <f t="shared" si="179"/>
        <v>159</v>
      </c>
      <c r="B163" s="3">
        <f t="shared" si="201"/>
        <v>44031</v>
      </c>
      <c r="C163" s="4">
        <v>5.7500000000000002E-2</v>
      </c>
      <c r="D163" s="41">
        <f>'[94]Part 1'!$C$20</f>
        <v>1781</v>
      </c>
      <c r="E163" s="2">
        <f>'[94]Part 1'!$C$24</f>
        <v>28727404.789999999</v>
      </c>
      <c r="G163" s="5">
        <f t="shared" ref="G163" si="484">+E163/$E$4</f>
        <v>0.31919338655555557</v>
      </c>
      <c r="H163" s="2">
        <f t="shared" ref="H163" si="485">+E162/D162*P163</f>
        <v>16200.660729108244</v>
      </c>
      <c r="I163" s="2">
        <f>'[94]Parts 2 - 3'!$C$51</f>
        <v>32727.84</v>
      </c>
      <c r="P163" s="42">
        <f>'[95]Parts 2 - 3'!$C$49</f>
        <v>1</v>
      </c>
      <c r="Q163" s="6">
        <f t="shared" si="403"/>
        <v>1.1330087737072307E-3</v>
      </c>
      <c r="R163" s="6">
        <f t="shared" si="404"/>
        <v>1.3511699663836918E-2</v>
      </c>
      <c r="S163" s="6">
        <f t="shared" ref="S163" si="486">AVERAGE(R161:R163)</f>
        <v>4.6141967122850973E-3</v>
      </c>
      <c r="T163" s="6">
        <f t="shared" ref="T163" si="487">AVERAGE(R152:R163)</f>
        <v>1.9217528443779452E-2</v>
      </c>
      <c r="U163" s="6">
        <f t="shared" si="407"/>
        <v>2.7199309032656865E-2</v>
      </c>
      <c r="V163" s="2">
        <v>0</v>
      </c>
      <c r="W163" s="2">
        <f>'[94]Parts 7-10'!$C$4</f>
        <v>27405343.969999999</v>
      </c>
      <c r="X163" s="2">
        <f>'[94]Parts 7-10'!$E$4</f>
        <v>692625.61</v>
      </c>
      <c r="Y163" s="2">
        <f>'[94]Parts 7-10'!$F$4</f>
        <v>311509.02</v>
      </c>
      <c r="Z163" s="2">
        <f>'[94]Parts 7-10'!$G$4</f>
        <v>94805.53</v>
      </c>
      <c r="AA163" s="2">
        <f>'[94]Parts 7-10'!$H$4</f>
        <v>45945.08</v>
      </c>
      <c r="AB163" s="2">
        <f>'[94]Parts 7-10'!$J$4</f>
        <v>16075.31</v>
      </c>
      <c r="AC163" s="2">
        <f>'[96]Parts 2 - 3'!$C$19</f>
        <v>0</v>
      </c>
      <c r="AD163" s="2">
        <f t="shared" ref="AD163" si="488">+AD162+AC163</f>
        <v>1911360.1999999997</v>
      </c>
      <c r="AE163" s="4">
        <f t="shared" ref="AE163" si="489">+AD163/$E$4</f>
        <v>2.1237335555555552E-2</v>
      </c>
      <c r="AF163" s="2">
        <f>'[94]Part 11'!$V$8</f>
        <v>13035064.680000005</v>
      </c>
      <c r="AG163" s="5">
        <f t="shared" ref="AG163" si="490">+AF163/$AF$4</f>
        <v>0.17140124497041426</v>
      </c>
      <c r="AH163" s="2">
        <f t="shared" ref="AH163" si="491">+$AH$2*AF163</f>
        <v>12520860.945088763</v>
      </c>
      <c r="AI163" s="2">
        <f t="shared" si="109"/>
        <v>13950000</v>
      </c>
      <c r="AJ163" s="5">
        <f t="shared" ref="AJ163" si="492">+AI163/AI$4</f>
        <v>1</v>
      </c>
      <c r="AK163" s="4">
        <f t="shared" ref="AK163" si="493">+AF163/E163</f>
        <v>0.45375016557491149</v>
      </c>
      <c r="AL163" s="9">
        <f>'[94]Parts 4 - 6 '!$C$46</f>
        <v>166134.74808393759</v>
      </c>
      <c r="AM163" s="4">
        <f t="shared" ref="AM163" si="494">1-(+AF163-AL163)/E163</f>
        <v>0.55203297944979224</v>
      </c>
      <c r="AO163" s="8">
        <f t="shared" ref="AO163" si="495">+W163/$E163</f>
        <v>0.95397910706990807</v>
      </c>
      <c r="AP163" s="8">
        <f t="shared" ref="AP163" si="496">+X163/$E163</f>
        <v>2.411027432039746E-2</v>
      </c>
      <c r="AQ163" s="8">
        <f t="shared" ref="AQ163" si="497">+Y163/$E163</f>
        <v>1.0843618568302982E-2</v>
      </c>
      <c r="AR163" s="8">
        <f t="shared" ref="AR163" si="498">+Z163/$E163</f>
        <v>3.3001773286879632E-3</v>
      </c>
      <c r="AS163" s="8">
        <f t="shared" ref="AS163" si="499">+AA163/$E163</f>
        <v>1.5993466982438132E-3</v>
      </c>
      <c r="AT163" s="8">
        <f t="shared" ref="AT163" si="500">+AB163/$E163</f>
        <v>5.5958100348820264E-4</v>
      </c>
    </row>
    <row r="164" spans="1:46" x14ac:dyDescent="0.25">
      <c r="A164">
        <f t="shared" si="179"/>
        <v>160</v>
      </c>
      <c r="B164" s="3">
        <f t="shared" si="201"/>
        <v>44061</v>
      </c>
      <c r="C164" s="4">
        <v>5.7500000000000002E-2</v>
      </c>
      <c r="D164" s="41">
        <f>'[97]Part 1'!$C$20</f>
        <v>1779</v>
      </c>
      <c r="E164" s="2">
        <f>'[97]Part 1'!$C$24</f>
        <v>28627913.030000001</v>
      </c>
      <c r="G164" s="5">
        <f t="shared" ref="G164" si="501">+E164/$E$4</f>
        <v>0.31808792255555557</v>
      </c>
      <c r="H164" s="2">
        <f t="shared" ref="H164" si="502">+E163/D163*P164</f>
        <v>16129.929696799551</v>
      </c>
      <c r="I164" s="2">
        <f>'[97]Parts 2 - 3'!$C$51</f>
        <v>5136.63</v>
      </c>
      <c r="P164" s="42">
        <f>'[98]Parts 2 - 3'!$C$49</f>
        <v>1</v>
      </c>
      <c r="Q164" s="6">
        <f t="shared" ref="Q164" si="503">IF(I164&gt;0,I164,+H164)/E163</f>
        <v>1.7880591851401973E-4</v>
      </c>
      <c r="R164" s="6">
        <f t="shared" si="404"/>
        <v>2.1435621566086027E-3</v>
      </c>
      <c r="S164" s="6">
        <f t="shared" ref="S164" si="504">AVERAGE(R162:R164)</f>
        <v>5.3287174311546321E-3</v>
      </c>
      <c r="T164" s="6">
        <f t="shared" ref="T164" si="505">AVERAGE(R153:R164)</f>
        <v>1.7550538642441754E-2</v>
      </c>
      <c r="U164" s="6">
        <f t="shared" ref="U164" si="506">AVERAGE(R147:R164)</f>
        <v>2.3845908535167683E-2</v>
      </c>
      <c r="V164" s="2">
        <v>0</v>
      </c>
      <c r="W164" s="2">
        <f>'[97]Parts 7-10'!$C$4</f>
        <v>27385455.649999999</v>
      </c>
      <c r="X164" s="2">
        <f>'[97]Parts 7-10'!$E$4</f>
        <v>655251.27</v>
      </c>
      <c r="Y164" s="2">
        <f>'[97]Parts 7-10'!$F$4</f>
        <v>252693.3</v>
      </c>
      <c r="Z164" s="2">
        <f>'[97]Parts 7-10'!$G$4</f>
        <v>124849.56</v>
      </c>
      <c r="AA164" s="2">
        <f>'[97]Parts 7-10'!$H$4</f>
        <v>12362.98</v>
      </c>
      <c r="AB164" s="2">
        <f>'[97]Parts 7-10'!$J$4</f>
        <v>55760.160000000003</v>
      </c>
      <c r="AC164" s="2">
        <f>'[99]Parts 2 - 3'!$C$19</f>
        <v>0</v>
      </c>
      <c r="AD164" s="2">
        <f t="shared" ref="AD164" si="507">+AD163+AC164</f>
        <v>1911360.1999999997</v>
      </c>
      <c r="AE164" s="4">
        <f t="shared" ref="AE164" si="508">+AD164/$E$4</f>
        <v>2.1237335555555552E-2</v>
      </c>
      <c r="AF164" s="2">
        <f>'[97]Part 11'!$V$8</f>
        <v>12922124.430000005</v>
      </c>
      <c r="AG164" s="5">
        <f t="shared" ref="AG164" si="509">+AF164/$AF$4</f>
        <v>0.16991616607495075</v>
      </c>
      <c r="AH164" s="2">
        <f t="shared" ref="AH164" si="510">+$AH$2*AF164</f>
        <v>12412375.931775153</v>
      </c>
      <c r="AI164" s="2">
        <f t="shared" si="109"/>
        <v>13950000</v>
      </c>
      <c r="AJ164" s="5">
        <f t="shared" ref="AJ164" si="511">+AI164/AI$4</f>
        <v>1</v>
      </c>
      <c r="AK164" s="4">
        <f t="shared" ref="AK164" si="512">+AF164/E164</f>
        <v>0.45138199268869322</v>
      </c>
      <c r="AL164" s="9">
        <f>'[97]Parts 4 - 6 '!$C$46</f>
        <v>180038.6839770751</v>
      </c>
      <c r="AM164" s="4">
        <f t="shared" ref="AM164" si="513">1-(+AF164-AL164)/E164</f>
        <v>0.55490692833004851</v>
      </c>
      <c r="AO164" s="8">
        <f t="shared" ref="AO164" si="514">+W164/$E164</f>
        <v>0.95659979200376932</v>
      </c>
      <c r="AP164" s="8">
        <f t="shared" ref="AP164" si="515">+X164/$E164</f>
        <v>2.2888544802876259E-2</v>
      </c>
      <c r="AQ164" s="8">
        <f t="shared" ref="AQ164" si="516">+Y164/$E164</f>
        <v>8.8268152741415532E-3</v>
      </c>
      <c r="AR164" s="8">
        <f t="shared" ref="AR164" si="517">+Z164/$E164</f>
        <v>4.3611128715239081E-3</v>
      </c>
      <c r="AS164" s="8">
        <f t="shared" ref="AS164" si="518">+AA164/$E164</f>
        <v>4.3185055044160859E-4</v>
      </c>
      <c r="AT164" s="8">
        <f t="shared" ref="AT164" si="519">+AB164/$E164</f>
        <v>1.9477549740201932E-3</v>
      </c>
    </row>
    <row r="165" spans="1:46" x14ac:dyDescent="0.25">
      <c r="A165">
        <f t="shared" si="179"/>
        <v>161</v>
      </c>
      <c r="B165" s="3">
        <f t="shared" si="201"/>
        <v>44091</v>
      </c>
      <c r="C165" s="4">
        <v>5.7500000000000002E-2</v>
      </c>
      <c r="D165" s="41">
        <f>'[100]Part 1'!$C$20</f>
        <v>1769</v>
      </c>
      <c r="E165" s="2">
        <f>'[100]Part 1'!$C$24</f>
        <v>28119859.530000001</v>
      </c>
      <c r="G165" s="5">
        <f t="shared" ref="G165" si="520">+E165/$E$4</f>
        <v>0.31244288366666667</v>
      </c>
      <c r="H165" s="2">
        <f>+E164/D164*P165</f>
        <v>16092.137734682407</v>
      </c>
      <c r="I165" s="2">
        <f>'[100]Parts 2 - 3'!$C$51</f>
        <v>33050.75</v>
      </c>
      <c r="P165" s="42">
        <f>'[101]Parts 2 - 3'!$C$49</f>
        <v>1</v>
      </c>
      <c r="Q165" s="6">
        <f t="shared" ref="Q165" si="521">IF(I165&gt;0,I165,+H165)/E164</f>
        <v>1.1544938663661994E-3</v>
      </c>
      <c r="R165" s="6">
        <f t="shared" ref="R165" si="522">1-(+Q165-1)^12</f>
        <v>1.3766295547192331E-2</v>
      </c>
      <c r="S165" s="6">
        <f t="shared" ref="S165" si="523">AVERAGE(R163:R165)</f>
        <v>9.8071857892126166E-3</v>
      </c>
      <c r="T165" s="6">
        <f t="shared" ref="T165" si="524">AVERAGE(R154:R165)</f>
        <v>1.6082158992749739E-2</v>
      </c>
      <c r="U165" s="6">
        <f t="shared" ref="U165" si="525">AVERAGE(R148:R165)</f>
        <v>2.2144837197914782E-2</v>
      </c>
      <c r="V165" s="2">
        <v>0</v>
      </c>
      <c r="W165" s="2">
        <f>'[100]Parts 7-10'!$C$4</f>
        <v>26120977.359999999</v>
      </c>
      <c r="X165" s="2">
        <f>'[100]Parts 7-10'!$E$4</f>
        <v>1126286.3799999999</v>
      </c>
      <c r="Y165" s="2">
        <f>'[100]Parts 7-10'!$F$4</f>
        <v>443701.08</v>
      </c>
      <c r="Z165" s="2">
        <f>'[100]Parts 7-10'!$G$4</f>
        <v>110147.42</v>
      </c>
      <c r="AA165" s="2">
        <f>'[100]Parts 7-10'!$H$4</f>
        <v>68930.039999999994</v>
      </c>
      <c r="AB165" s="2">
        <f>'[100]Parts 7-10'!$J$4</f>
        <v>79838.850000000006</v>
      </c>
      <c r="AC165" s="2">
        <f>'[102]Parts 2 - 3'!$C$19</f>
        <v>0</v>
      </c>
      <c r="AD165" s="2">
        <f t="shared" ref="AD165" si="526">+AD164+AC165</f>
        <v>1911360.1999999997</v>
      </c>
      <c r="AE165" s="4">
        <f t="shared" ref="AE165" si="527">+AD165/$E$4</f>
        <v>2.1237335555555552E-2</v>
      </c>
      <c r="AF165" s="2">
        <f>'[100]Part 11'!$V$8</f>
        <v>12369683.730000006</v>
      </c>
      <c r="AG165" s="5">
        <f t="shared" ref="AG165" si="528">+AF165/$AF$4</f>
        <v>0.16265198856015786</v>
      </c>
      <c r="AH165" s="2">
        <f t="shared" ref="AH165" si="529">+$AH$2*AF165</f>
        <v>11881727.764319533</v>
      </c>
      <c r="AI165" s="2">
        <f t="shared" si="109"/>
        <v>13950000</v>
      </c>
      <c r="AJ165" s="5">
        <f t="shared" ref="AJ165" si="530">+AI165/AI$4</f>
        <v>1</v>
      </c>
      <c r="AK165" s="4">
        <f t="shared" ref="AK165" si="531">+AF165/E165</f>
        <v>0.43989137701073022</v>
      </c>
      <c r="AL165" s="9">
        <f>'[100]Parts 4 - 6 '!$C$46</f>
        <v>162858.12</v>
      </c>
      <c r="AM165" s="4">
        <f t="shared" ref="AM165" si="532">1-(+AF165-AL165)/E165</f>
        <v>0.56590019246088297</v>
      </c>
      <c r="AO165" s="8">
        <f t="shared" ref="AO165" si="533">+W165/$E165</f>
        <v>0.92891564170626562</v>
      </c>
      <c r="AP165" s="8">
        <f t="shared" ref="AP165" si="534">+X165/$E165</f>
        <v>4.0053058543852542E-2</v>
      </c>
      <c r="AQ165" s="8">
        <f t="shared" ref="AQ165" si="535">+Y165/$E165</f>
        <v>1.5778922349403358E-2</v>
      </c>
      <c r="AR165" s="8">
        <f t="shared" ref="AR165" si="536">+Z165/$E165</f>
        <v>3.9170686426256126E-3</v>
      </c>
      <c r="AS165" s="8">
        <f t="shared" ref="AS165" si="537">+AA165/$E165</f>
        <v>2.4512938952081596E-3</v>
      </c>
      <c r="AT165" s="8">
        <f t="shared" ref="AT165" si="538">+AB165/$E165</f>
        <v>2.8392335998273033E-3</v>
      </c>
    </row>
    <row r="166" spans="1:46" x14ac:dyDescent="0.25">
      <c r="A166">
        <f t="shared" si="179"/>
        <v>162</v>
      </c>
      <c r="B166" s="3">
        <f t="shared" si="201"/>
        <v>44121</v>
      </c>
      <c r="C166" s="4">
        <v>5.7500000000000002E-2</v>
      </c>
      <c r="D166" s="41">
        <f>'[103]Part 1'!$C$20</f>
        <v>1772</v>
      </c>
      <c r="E166" s="2">
        <f>'[103]Part 1'!$C$24</f>
        <v>28293003.039999999</v>
      </c>
      <c r="G166" s="5">
        <f t="shared" ref="G166:G167" si="539">+E166/$E$4</f>
        <v>0.31436670044444442</v>
      </c>
      <c r="H166" s="2">
        <f t="shared" ref="H166:H171" si="540">+E165/D165*P166</f>
        <v>111271.34918598078</v>
      </c>
      <c r="I166" s="2">
        <f>'[103]Parts 2 - 3'!$C$51</f>
        <v>83227.259999999995</v>
      </c>
      <c r="P166" s="42">
        <f>'[104]Parts 2 - 3'!$C$49</f>
        <v>7</v>
      </c>
      <c r="Q166" s="6">
        <f t="shared" ref="Q166:Q167" si="541">IF(I166&gt;0,I166,+H166)/E165</f>
        <v>2.9597324236704673E-3</v>
      </c>
      <c r="R166" s="6">
        <f t="shared" ref="R166:R167" si="542">1-(+Q166-1)^12</f>
        <v>3.4944294227512773E-2</v>
      </c>
      <c r="S166" s="6">
        <f t="shared" ref="S166:S167" si="543">AVERAGE(R164:R166)</f>
        <v>1.6951383977104568E-2</v>
      </c>
      <c r="T166" s="6">
        <f t="shared" ref="T166:T167" si="544">AVERAGE(R155:R166)</f>
        <v>1.7477629328817801E-2</v>
      </c>
      <c r="U166" s="6">
        <f t="shared" ref="U166:U167" si="545">AVERAGE(R149:R166)</f>
        <v>2.2028579308850285E-2</v>
      </c>
      <c r="V166" s="2">
        <v>0</v>
      </c>
      <c r="W166" s="2">
        <f>'[103]Parts 7-10'!$C$4</f>
        <v>26383622.479999997</v>
      </c>
      <c r="X166" s="2">
        <f>'[103]Parts 7-10'!$E$4</f>
        <v>1199192.3</v>
      </c>
      <c r="Y166" s="2">
        <f>'[103]Parts 7-10'!$F$4</f>
        <v>283055.02</v>
      </c>
      <c r="Z166" s="2">
        <f>'[103]Parts 7-10'!$G$4</f>
        <v>144745.20000000001</v>
      </c>
      <c r="AA166" s="2">
        <f>'[103]Parts 7-10'!$H$4</f>
        <v>92284.95</v>
      </c>
      <c r="AB166" s="2">
        <f>'[103]Parts 7-10'!$J$4</f>
        <v>0</v>
      </c>
      <c r="AC166" s="2">
        <f>'[105]Parts 2 - 3'!$C$19</f>
        <v>29438.29</v>
      </c>
      <c r="AD166" s="2">
        <f t="shared" ref="AD166:AD167" si="546">+AD165+AC166</f>
        <v>1940798.4899999998</v>
      </c>
      <c r="AE166" s="4">
        <f t="shared" ref="AE166:AE167" si="547">+AD166/$E$4</f>
        <v>2.1564427666666663E-2</v>
      </c>
      <c r="AF166" s="2">
        <f>'[103]Part 11'!$V$8</f>
        <v>12551886.010000005</v>
      </c>
      <c r="AG166" s="5">
        <f t="shared" ref="AG166:AG167" si="548">+AF166/$AF$4</f>
        <v>0.16504781078238009</v>
      </c>
      <c r="AH166" s="2">
        <f t="shared" ref="AH166:AH167" si="549">+$AH$2*AF166</f>
        <v>12056742.577652866</v>
      </c>
      <c r="AI166" s="2">
        <f t="shared" si="109"/>
        <v>13950000</v>
      </c>
      <c r="AJ166" s="5">
        <f t="shared" ref="AJ166:AJ167" si="550">+AI166/AI$4</f>
        <v>1</v>
      </c>
      <c r="AK166" s="4">
        <f t="shared" ref="AK166:AK167" si="551">+AF166/E166</f>
        <v>0.44363922741797457</v>
      </c>
      <c r="AL166" s="9">
        <f>'[103]Parts 4 - 6 '!$C$46</f>
        <v>176574.78</v>
      </c>
      <c r="AM166" s="4">
        <f t="shared" ref="AM166:AM167" si="552">1-(+AF166-AL166)/E166</f>
        <v>0.56260170712511237</v>
      </c>
      <c r="AO166" s="8">
        <f t="shared" ref="AO166:AO167" si="553">+W166/$E166</f>
        <v>0.93251403686980261</v>
      </c>
      <c r="AP166" s="8">
        <f t="shared" ref="AP166:AP167" si="554">+X166/$E166</f>
        <v>4.2384765530354251E-2</v>
      </c>
      <c r="AQ166" s="8">
        <f t="shared" ref="AQ166:AQ167" si="555">+Y166/$E166</f>
        <v>1.0004417685878848E-2</v>
      </c>
      <c r="AR166" s="8">
        <f t="shared" ref="AR166:AR167" si="556">+Z166/$E166</f>
        <v>5.1159362544641361E-3</v>
      </c>
      <c r="AS166" s="8">
        <f t="shared" ref="AS166:AS167" si="557">+AA166/$E166</f>
        <v>3.261758741888574E-3</v>
      </c>
      <c r="AT166" s="8">
        <f t="shared" ref="AT166:AT167" si="558">+AB166/$E166</f>
        <v>0</v>
      </c>
    </row>
    <row r="167" spans="1:46" x14ac:dyDescent="0.25">
      <c r="A167">
        <f t="shared" si="179"/>
        <v>163</v>
      </c>
      <c r="B167" s="3">
        <f t="shared" si="201"/>
        <v>44151</v>
      </c>
      <c r="C167" s="4">
        <v>5.7500000000000002E-2</v>
      </c>
      <c r="D167" s="41">
        <f>'[106]Part 1'!$C$20</f>
        <v>1769</v>
      </c>
      <c r="E167" s="2">
        <f>'[106]Part 1'!$C$24</f>
        <v>28119859.530000001</v>
      </c>
      <c r="G167" s="5">
        <f t="shared" si="539"/>
        <v>0.31244288366666667</v>
      </c>
      <c r="H167" s="2">
        <f t="shared" si="540"/>
        <v>47900.118013544015</v>
      </c>
      <c r="I167" s="2">
        <f>'[106]Parts 2 - 3'!$C$51</f>
        <v>33050.75</v>
      </c>
      <c r="P167" s="42">
        <f>'[107]Parts 2 - 3'!$C$49</f>
        <v>3</v>
      </c>
      <c r="Q167" s="6">
        <f t="shared" si="541"/>
        <v>1.1681598433815458E-3</v>
      </c>
      <c r="R167" s="6">
        <f t="shared" si="542"/>
        <v>1.3928204465787242E-2</v>
      </c>
      <c r="S167" s="6">
        <f t="shared" si="543"/>
        <v>2.0879598080164114E-2</v>
      </c>
      <c r="T167" s="6">
        <f t="shared" si="544"/>
        <v>1.3603291208942705E-2</v>
      </c>
      <c r="U167" s="6">
        <f t="shared" si="545"/>
        <v>1.9801836905771284E-2</v>
      </c>
      <c r="V167" s="2">
        <v>0</v>
      </c>
      <c r="W167" s="2">
        <f>'[106]Parts 7-10'!$C$4</f>
        <v>26120977.359999999</v>
      </c>
      <c r="X167" s="2">
        <f>'[106]Parts 7-10'!$E$4</f>
        <v>1126286.3799999999</v>
      </c>
      <c r="Y167" s="2">
        <f>'[106]Parts 7-10'!$F$4</f>
        <v>443701.08</v>
      </c>
      <c r="Z167" s="2">
        <f>'[106]Parts 7-10'!$G$4</f>
        <v>110147.42</v>
      </c>
      <c r="AA167" s="2">
        <f>'[106]Parts 7-10'!$H$4</f>
        <v>68930.039999999994</v>
      </c>
      <c r="AB167" s="2">
        <f>'[106]Parts 7-10'!$J$4</f>
        <v>79838.850000000006</v>
      </c>
      <c r="AC167" s="2">
        <f>'[108]Parts 2 - 3'!$C$19</f>
        <v>0</v>
      </c>
      <c r="AD167" s="2">
        <f t="shared" si="546"/>
        <v>1940798.4899999998</v>
      </c>
      <c r="AE167" s="4">
        <f t="shared" si="547"/>
        <v>2.1564427666666663E-2</v>
      </c>
      <c r="AF167" s="2">
        <f>'[106]Part 11'!$V$8</f>
        <v>12369683.730000006</v>
      </c>
      <c r="AG167" s="5">
        <f t="shared" si="548"/>
        <v>0.16265198856015786</v>
      </c>
      <c r="AH167" s="2">
        <f t="shared" si="549"/>
        <v>11881727.764319533</v>
      </c>
      <c r="AI167" s="2">
        <f t="shared" si="109"/>
        <v>13950000</v>
      </c>
      <c r="AJ167" s="5">
        <f t="shared" si="550"/>
        <v>1</v>
      </c>
      <c r="AK167" s="4">
        <f t="shared" si="551"/>
        <v>0.43989137701073022</v>
      </c>
      <c r="AL167" s="9">
        <f>'[106]Parts 4 - 6 '!$C$46</f>
        <v>162858.12</v>
      </c>
      <c r="AM167" s="4">
        <f t="shared" si="552"/>
        <v>0.56590019246088297</v>
      </c>
      <c r="AO167" s="8">
        <f t="shared" si="553"/>
        <v>0.92891564170626562</v>
      </c>
      <c r="AP167" s="8">
        <f t="shared" si="554"/>
        <v>4.0053058543852542E-2</v>
      </c>
      <c r="AQ167" s="8">
        <f t="shared" si="555"/>
        <v>1.5778922349403358E-2</v>
      </c>
      <c r="AR167" s="8">
        <f t="shared" si="556"/>
        <v>3.9170686426256126E-3</v>
      </c>
      <c r="AS167" s="8">
        <f t="shared" si="557"/>
        <v>2.4512938952081596E-3</v>
      </c>
      <c r="AT167" s="8">
        <f t="shared" si="558"/>
        <v>2.8392335998273033E-3</v>
      </c>
    </row>
    <row r="168" spans="1:46" x14ac:dyDescent="0.25">
      <c r="A168">
        <f t="shared" si="179"/>
        <v>164</v>
      </c>
      <c r="B168" s="3">
        <f t="shared" si="201"/>
        <v>44181</v>
      </c>
      <c r="C168" s="4">
        <v>5.7500000000000002E-2</v>
      </c>
      <c r="D168" s="41">
        <f>'[109]Part 1'!$C$20</f>
        <v>1761</v>
      </c>
      <c r="E168" s="2">
        <f>'[109]Part 1'!$C$24</f>
        <v>27918843.920000002</v>
      </c>
      <c r="G168" s="5">
        <f t="shared" ref="G168" si="559">+E168/$E$4</f>
        <v>0.31020937688888889</v>
      </c>
      <c r="H168" s="2">
        <f t="shared" si="540"/>
        <v>127167.25621254947</v>
      </c>
      <c r="I168" s="2">
        <f>'[109]Parts 2 - 3'!$C$51</f>
        <v>109812.37</v>
      </c>
      <c r="P168" s="42">
        <f>'[110]Parts 2 - 3'!$C$49</f>
        <v>8</v>
      </c>
      <c r="Q168" s="6">
        <f t="shared" ref="Q168" si="560">IF(I168&gt;0,I168,+H168)/E167</f>
        <v>3.9051535759929874E-3</v>
      </c>
      <c r="R168" s="6">
        <f t="shared" ref="R168" si="561">1-(+Q168-1)^12</f>
        <v>4.5868315675376303E-2</v>
      </c>
      <c r="S168" s="6">
        <f t="shared" ref="S168" si="562">AVERAGE(R166:R168)</f>
        <v>3.1580271456225439E-2</v>
      </c>
      <c r="T168" s="6">
        <f t="shared" ref="T168" si="563">AVERAGE(R157:R168)</f>
        <v>1.6110254421033626E-2</v>
      </c>
      <c r="U168" s="6">
        <f t="shared" ref="U168" si="564">AVERAGE(R151:R168)</f>
        <v>2.0872719343169224E-2</v>
      </c>
      <c r="V168" s="2">
        <v>0</v>
      </c>
      <c r="W168" s="2">
        <f>'[109]Parts 7-10'!$C$4</f>
        <v>25509340.379999999</v>
      </c>
      <c r="X168" s="2">
        <f>'[109]Parts 7-10'!$E$4</f>
        <v>1421399.56</v>
      </c>
      <c r="Y168" s="2">
        <f>'[109]Parts 7-10'!$F$4</f>
        <v>513095.69</v>
      </c>
      <c r="Z168" s="2">
        <f>'[109]Parts 7-10'!$G$4</f>
        <v>124481.29</v>
      </c>
      <c r="AA168" s="2">
        <f>'[109]Parts 7-10'!$H$4</f>
        <v>86098.5</v>
      </c>
      <c r="AB168" s="2">
        <f>'[109]Parts 7-10'!$J$4</f>
        <v>34554.53</v>
      </c>
      <c r="AC168" s="2">
        <f>'[111]Parts 2 - 3'!$C$19</f>
        <v>30993.91</v>
      </c>
      <c r="AD168" s="2">
        <f t="shared" ref="AD168" si="565">+AD167+AC168</f>
        <v>1971792.3999999997</v>
      </c>
      <c r="AE168" s="4">
        <f t="shared" ref="AE168" si="566">+AD168/$E$4</f>
        <v>2.190880444444444E-2</v>
      </c>
      <c r="AF168" s="2">
        <f>'[112]Part 11'!$V$8</f>
        <v>12132390.900000006</v>
      </c>
      <c r="AG168" s="5">
        <f t="shared" ref="AG168" si="567">+AF168/$AF$4</f>
        <v>0.15953176725838272</v>
      </c>
      <c r="AH168" s="2">
        <f t="shared" ref="AH168" si="568">+$AH$2*AF168</f>
        <v>11653795.598224858</v>
      </c>
      <c r="AI168" s="2">
        <f t="shared" ref="AI168:AI183" si="569">+AI167</f>
        <v>13950000</v>
      </c>
      <c r="AJ168" s="5">
        <f t="shared" ref="AJ168" si="570">+AI168/AI$4</f>
        <v>1</v>
      </c>
      <c r="AK168" s="4">
        <f t="shared" ref="AK168" si="571">+AF168/E168</f>
        <v>0.43455921508658246</v>
      </c>
      <c r="AL168" s="9">
        <f>'[109]Parts 4 - 6 '!$C$46</f>
        <v>144962.40000000002</v>
      </c>
      <c r="AM168" s="4">
        <f t="shared" ref="AM168" si="572">1-(+AF168-AL168)/E168</f>
        <v>0.57063306294668359</v>
      </c>
      <c r="AO168" s="8">
        <f t="shared" ref="AO168" si="573">+W168/$E168</f>
        <v>0.91369615637007351</v>
      </c>
      <c r="AP168" s="8">
        <f t="shared" ref="AP168" si="574">+X168/$E168</f>
        <v>5.091183446108824E-2</v>
      </c>
      <c r="AQ168" s="8">
        <f t="shared" ref="AQ168" si="575">+Y168/$E168</f>
        <v>1.8378113773988961E-2</v>
      </c>
      <c r="AR168" s="8">
        <f t="shared" ref="AR168" si="576">+Z168/$E168</f>
        <v>4.4586835456616571E-3</v>
      </c>
      <c r="AS168" s="8">
        <f t="shared" ref="AS168" si="577">+AA168/$E168</f>
        <v>3.0838848573641079E-3</v>
      </c>
      <c r="AT168" s="8">
        <f t="shared" ref="AT168" si="578">+AB168/$E168</f>
        <v>1.2376776810320016E-3</v>
      </c>
    </row>
    <row r="169" spans="1:46" x14ac:dyDescent="0.25">
      <c r="A169">
        <f t="shared" si="179"/>
        <v>165</v>
      </c>
      <c r="B169" s="3">
        <f t="shared" si="201"/>
        <v>44211</v>
      </c>
      <c r="C169" s="4">
        <v>5.7500000000000002E-2</v>
      </c>
      <c r="D169" s="41">
        <f>'[113]Part 1'!$C$20</f>
        <v>1754</v>
      </c>
      <c r="E169" s="2">
        <f>'[113]Part 1'!$C$24</f>
        <v>27706690.600000001</v>
      </c>
      <c r="G169" s="5">
        <f t="shared" ref="G169" si="579">+E169/$E$4</f>
        <v>0.30785211777777777</v>
      </c>
      <c r="H169" s="2">
        <f t="shared" si="540"/>
        <v>110977.80093128905</v>
      </c>
      <c r="I169" s="2">
        <f>'[113]Parts 2 - 3'!$C$51</f>
        <v>46723.85</v>
      </c>
      <c r="P169" s="42">
        <f>'[114]Parts 2 - 3'!$C$49</f>
        <v>7</v>
      </c>
      <c r="Q169" s="6">
        <f t="shared" ref="Q169" si="580">IF(I169&gt;0,I169,+H169)/E168</f>
        <v>1.6735596263901459E-3</v>
      </c>
      <c r="R169" s="6">
        <f t="shared" ref="R169" si="581">1-(+Q169-1)^12</f>
        <v>1.9898889931659891E-2</v>
      </c>
      <c r="S169" s="6">
        <f t="shared" ref="S169" si="582">AVERAGE(R167:R169)</f>
        <v>2.6565136690941144E-2</v>
      </c>
      <c r="T169" s="6">
        <f t="shared" ref="T169" si="583">AVERAGE(R158:R169)</f>
        <v>1.5093397366177078E-2</v>
      </c>
      <c r="U169" s="6">
        <f t="shared" ref="U169" si="584">AVERAGE(R152:R169)</f>
        <v>2.0064439073860588E-2</v>
      </c>
      <c r="V169" s="2">
        <v>0</v>
      </c>
      <c r="W169" s="2">
        <f>'[113]Parts 7-10'!$C$4</f>
        <v>25405371.469999999</v>
      </c>
      <c r="X169" s="2">
        <f>'[113]Parts 7-10'!$E$4</f>
        <v>1343331.4</v>
      </c>
      <c r="Y169" s="2">
        <f>'[113]Parts 7-10'!$F$4</f>
        <v>522557.62</v>
      </c>
      <c r="Z169" s="2">
        <f>'[113]Parts 7-10'!$G$4</f>
        <v>75793.95</v>
      </c>
      <c r="AA169" s="2">
        <f>'[113]Parts 7-10'!$H$4</f>
        <v>94860.44</v>
      </c>
      <c r="AB169" s="2">
        <f>'[113]Parts 7-10'!$J$4</f>
        <v>20290.5</v>
      </c>
      <c r="AC169" s="2">
        <f>'[115]Parts 2 - 3'!$C$19</f>
        <v>14611.25</v>
      </c>
      <c r="AD169" s="2">
        <f t="shared" ref="AD169" si="585">+AD168+AC169</f>
        <v>1986403.6499999997</v>
      </c>
      <c r="AE169" s="4">
        <f t="shared" ref="AE169" si="586">+AD169/$E$4</f>
        <v>2.2071151666666664E-2</v>
      </c>
      <c r="AF169" s="2">
        <f>'[113]Part 11'!$V$8</f>
        <v>11889463.930000005</v>
      </c>
      <c r="AG169" s="5">
        <f t="shared" ref="AG169" si="587">+AF169/$AF$4</f>
        <v>0.15633746127547674</v>
      </c>
      <c r="AH169" s="2">
        <f t="shared" ref="AH169" si="588">+$AH$2*AF169</f>
        <v>11420451.546173576</v>
      </c>
      <c r="AI169" s="2">
        <f t="shared" si="569"/>
        <v>13950000</v>
      </c>
      <c r="AJ169" s="5">
        <f t="shared" ref="AJ169" si="589">+AI169/AI$4</f>
        <v>1</v>
      </c>
      <c r="AK169" s="4">
        <f t="shared" ref="AK169" si="590">+AF169/E169</f>
        <v>0.42911887607392579</v>
      </c>
      <c r="AL169" s="9">
        <f>'[113]Parts 4 - 6 '!$C$46</f>
        <v>162493.16999999998</v>
      </c>
      <c r="AM169" s="4">
        <f t="shared" ref="AM169" si="591">1-(+AF169-AL169)/E169</f>
        <v>0.57674588678591565</v>
      </c>
      <c r="AO169" s="8">
        <f t="shared" ref="AO169" si="592">+W169/$E169</f>
        <v>0.91693994915437493</v>
      </c>
      <c r="AP169" s="8">
        <f t="shared" ref="AP169" si="593">+X169/$E169</f>
        <v>4.8484007685854758E-2</v>
      </c>
      <c r="AQ169" s="8">
        <f t="shared" ref="AQ169" si="594">+Y169/$E169</f>
        <v>1.8860340541717386E-2</v>
      </c>
      <c r="AR169" s="8">
        <f t="shared" ref="AR169" si="595">+Z169/$E169</f>
        <v>2.7355829353362033E-3</v>
      </c>
      <c r="AS169" s="8">
        <f t="shared" ref="AS169" si="596">+AA169/$E169</f>
        <v>3.4237376585134279E-3</v>
      </c>
      <c r="AT169" s="8">
        <f t="shared" ref="AT169" si="597">+AB169/$E169</f>
        <v>7.3233213929923483E-4</v>
      </c>
    </row>
    <row r="170" spans="1:46" x14ac:dyDescent="0.25">
      <c r="A170">
        <f t="shared" si="179"/>
        <v>166</v>
      </c>
      <c r="B170" s="3">
        <f t="shared" si="201"/>
        <v>44241</v>
      </c>
      <c r="C170" s="4">
        <v>5.7500000000000002E-2</v>
      </c>
      <c r="D170" s="41">
        <f>'[116]Part 1'!$C$20</f>
        <v>1746</v>
      </c>
      <c r="E170" s="2">
        <f>'[116]Part 1'!$C$24</f>
        <v>27516906.09</v>
      </c>
      <c r="G170" s="5">
        <f t="shared" ref="G170" si="598">+E170/$E$4</f>
        <v>0.30574340100000003</v>
      </c>
      <c r="H170" s="2">
        <f t="shared" si="540"/>
        <v>126370.31060433296</v>
      </c>
      <c r="I170" s="2">
        <f>'[116]Parts 2 - 3'!$C$51</f>
        <v>63745.4</v>
      </c>
      <c r="P170" s="42">
        <f>'[117]Parts 2 - 3'!$C$49</f>
        <v>8</v>
      </c>
      <c r="Q170" s="6">
        <f t="shared" ref="Q170" si="599">IF(I170&gt;0,I170,+H170)/E169</f>
        <v>2.300722266700448E-3</v>
      </c>
      <c r="R170" s="6">
        <f t="shared" ref="R170" si="600">1-(+Q170-1)^12</f>
        <v>2.7261973329699818E-2</v>
      </c>
      <c r="S170" s="6">
        <f t="shared" ref="S170" si="601">AVERAGE(R168:R170)</f>
        <v>3.1009726312245339E-2</v>
      </c>
      <c r="T170" s="6">
        <f t="shared" ref="T170" si="602">AVERAGE(R159:R170)</f>
        <v>1.5652035586937812E-2</v>
      </c>
      <c r="U170" s="6">
        <f t="shared" ref="U170" si="603">AVERAGE(R153:R170)</f>
        <v>2.0348579827029409E-2</v>
      </c>
      <c r="V170" s="2">
        <v>0</v>
      </c>
      <c r="W170" s="2">
        <f>'[116]Parts 7-10'!$C$4</f>
        <v>25211362.119999997</v>
      </c>
      <c r="X170" s="2">
        <f>'[116]Parts 7-10'!$E$4</f>
        <v>1205399.1000000001</v>
      </c>
      <c r="Y170" s="2">
        <f>'[116]Parts 7-10'!$F$4</f>
        <v>582879.09</v>
      </c>
      <c r="Z170" s="2">
        <f>'[116]Parts 7-10'!$G$4</f>
        <v>162544.74</v>
      </c>
      <c r="AA170" s="2">
        <f>'[116]Parts 7-10'!$H$4</f>
        <v>78543.41</v>
      </c>
      <c r="AB170" s="2">
        <f>'[116]Parts 7-10'!$J$4</f>
        <v>11401.91</v>
      </c>
      <c r="AC170" s="2">
        <f>'[118]Parts 2 - 3'!$C$19</f>
        <v>20290.5</v>
      </c>
      <c r="AD170" s="2">
        <f t="shared" ref="AD170" si="604">+AD169+AC170</f>
        <v>2006694.1499999997</v>
      </c>
      <c r="AE170" s="4">
        <f t="shared" ref="AE170" si="605">+AD170/$E$4</f>
        <v>2.2296601666666662E-2</v>
      </c>
      <c r="AF170" s="2">
        <f>'[116]Part 11'!$V$8</f>
        <v>11671932.970000004</v>
      </c>
      <c r="AG170" s="5">
        <f t="shared" ref="AG170" si="606">+AF170/$AF$4</f>
        <v>0.15347709362261674</v>
      </c>
      <c r="AH170" s="2">
        <f t="shared" ref="AH170" si="607">+$AH$2*AF170</f>
        <v>11211501.689132154</v>
      </c>
      <c r="AI170" s="2">
        <f t="shared" si="569"/>
        <v>13950000</v>
      </c>
      <c r="AJ170" s="5">
        <f t="shared" ref="AJ170" si="608">+AI170/AI$4</f>
        <v>1</v>
      </c>
      <c r="AK170" s="4">
        <f t="shared" ref="AK170" si="609">+AF170/E170</f>
        <v>0.42417315856021093</v>
      </c>
      <c r="AL170" s="9">
        <f>'[116]Parts 4 - 6 '!$C$46</f>
        <v>144310.86000000002</v>
      </c>
      <c r="AM170" s="4">
        <f t="shared" ref="AM170" si="610">1-(+AF170-AL170)/E170</f>
        <v>0.58107128496581628</v>
      </c>
      <c r="AO170" s="8">
        <f t="shared" ref="AO170" si="611">+W170/$E170</f>
        <v>0.91621354659352972</v>
      </c>
      <c r="AP170" s="8">
        <f t="shared" ref="AP170" si="612">+X170/$E170</f>
        <v>4.3805764211190069E-2</v>
      </c>
      <c r="AQ170" s="8">
        <f t="shared" ref="AQ170" si="613">+Y170/$E170</f>
        <v>2.1182580922926717E-2</v>
      </c>
      <c r="AR170" s="8">
        <f t="shared" ref="AR170" si="614">+Z170/$E170</f>
        <v>5.9070863369727038E-3</v>
      </c>
      <c r="AS170" s="8">
        <f t="shared" ref="AS170" si="615">+AA170/$E170</f>
        <v>2.8543692282521436E-3</v>
      </c>
      <c r="AT170" s="8">
        <f t="shared" ref="AT170" si="616">+AB170/$E170</f>
        <v>4.1436017416738582E-4</v>
      </c>
    </row>
    <row r="171" spans="1:46" x14ac:dyDescent="0.25">
      <c r="A171">
        <f t="shared" si="179"/>
        <v>167</v>
      </c>
      <c r="B171" s="3">
        <f t="shared" si="201"/>
        <v>44271</v>
      </c>
      <c r="C171" s="4">
        <v>5.7500000000000002E-2</v>
      </c>
      <c r="D171" s="41">
        <f>'[119]Part 1'!$C$20</f>
        <v>1741</v>
      </c>
      <c r="E171" s="2">
        <f>'[119]Part 1'!$C$24</f>
        <v>27375909.370000001</v>
      </c>
      <c r="G171" s="5">
        <f t="shared" ref="G171" si="617">+E171/$E$4</f>
        <v>0.30417677077777777</v>
      </c>
      <c r="H171" s="2">
        <f t="shared" si="540"/>
        <v>63039.876494845361</v>
      </c>
      <c r="I171" s="2">
        <f>'[119]Parts 2 - 3'!$C$51</f>
        <v>70199.199999999997</v>
      </c>
      <c r="P171" s="42">
        <f>'[120]Parts 2 - 3'!$C$49</f>
        <v>4</v>
      </c>
      <c r="Q171" s="6">
        <f t="shared" ref="Q171" si="618">IF(I171&gt;0,I171,+H171)/E170</f>
        <v>2.5511298316169091E-3</v>
      </c>
      <c r="R171" s="6">
        <f t="shared" ref="R171" si="619">1-(+Q171-1)^12</f>
        <v>3.0187644465690777E-2</v>
      </c>
      <c r="S171" s="6">
        <f t="shared" ref="S171" si="620">AVERAGE(R169:R171)</f>
        <v>2.5782835909016828E-2</v>
      </c>
      <c r="T171" s="6">
        <f t="shared" ref="T171" si="621">AVERAGE(R160:R171)</f>
        <v>1.6820147494698585E-2</v>
      </c>
      <c r="U171" s="6">
        <f t="shared" ref="U171" si="622">AVERAGE(R154:R171)</f>
        <v>2.028195722270687E-2</v>
      </c>
      <c r="V171" s="2">
        <v>0</v>
      </c>
      <c r="W171" s="2">
        <f>'[119]Parts 7-10'!$C$4</f>
        <v>25349777.420000002</v>
      </c>
      <c r="X171" s="2">
        <f>'[119]Parts 7-10'!$E$4</f>
        <v>945349.52</v>
      </c>
      <c r="Y171" s="2">
        <f>'[119]Parts 7-10'!$F$4</f>
        <v>513992.13</v>
      </c>
      <c r="Z171" s="2">
        <f>'[119]Parts 7-10'!$G$4</f>
        <v>168639.79</v>
      </c>
      <c r="AA171" s="2">
        <f>'[119]Parts 7-10'!$H$4</f>
        <v>94294.67</v>
      </c>
      <c r="AB171" s="2">
        <f>'[119]Parts 7-10'!$J$4</f>
        <v>27678.21</v>
      </c>
      <c r="AC171" s="2">
        <f>'[121]Parts 2 - 3'!$C$19</f>
        <v>11401.91</v>
      </c>
      <c r="AD171" s="2">
        <f t="shared" ref="AD171" si="623">+AD170+AC171</f>
        <v>2018096.0599999996</v>
      </c>
      <c r="AE171" s="4">
        <f t="shared" ref="AE171" si="624">+AD171/$E$4</f>
        <v>2.2423289555555552E-2</v>
      </c>
      <c r="AF171" s="2">
        <f>'[119]Part 11'!$V$8</f>
        <v>11519534.340000004</v>
      </c>
      <c r="AG171" s="5">
        <f t="shared" ref="AG171" si="625">+AF171/$AF$4</f>
        <v>0.15147316686390538</v>
      </c>
      <c r="AH171" s="2">
        <f t="shared" ref="AH171" si="626">+$AH$2*AF171</f>
        <v>11065114.839408288</v>
      </c>
      <c r="AI171" s="2">
        <f t="shared" si="569"/>
        <v>13950000</v>
      </c>
      <c r="AJ171" s="5">
        <f t="shared" ref="AJ171" si="627">+AI171/AI$4</f>
        <v>1</v>
      </c>
      <c r="AK171" s="4">
        <f t="shared" ref="AK171" si="628">+AF171/E171</f>
        <v>0.42079092914530652</v>
      </c>
      <c r="AL171" s="9">
        <f>'[119]Parts 4 - 6 '!$C$46</f>
        <v>136785.33000000002</v>
      </c>
      <c r="AM171" s="4">
        <f t="shared" ref="AM171" si="629">1-(+AF171-AL171)/E171</f>
        <v>0.58420562925760433</v>
      </c>
      <c r="AO171" s="8">
        <f t="shared" ref="AO171" si="630">+W171/$E171</f>
        <v>0.9259885060760632</v>
      </c>
      <c r="AP171" s="8">
        <f t="shared" ref="AP171" si="631">+X171/$E171</f>
        <v>3.4532168675133222E-2</v>
      </c>
      <c r="AQ171" s="8">
        <f t="shared" ref="AQ171" si="632">+Y171/$E171</f>
        <v>1.8775344521094167E-2</v>
      </c>
      <c r="AR171" s="8">
        <f t="shared" ref="AR171" si="633">+Z171/$E171</f>
        <v>6.1601529914766806E-3</v>
      </c>
      <c r="AS171" s="8">
        <f t="shared" ref="AS171" si="634">+AA171/$E171</f>
        <v>3.4444397344233317E-3</v>
      </c>
      <c r="AT171" s="8">
        <f t="shared" ref="AT171" si="635">+AB171/$E171</f>
        <v>1.011042578564761E-3</v>
      </c>
    </row>
    <row r="172" spans="1:46" x14ac:dyDescent="0.25">
      <c r="A172">
        <f t="shared" si="179"/>
        <v>168</v>
      </c>
      <c r="B172" s="3">
        <f t="shared" si="201"/>
        <v>44301</v>
      </c>
      <c r="C172" s="4">
        <v>5.7500000000000002E-2</v>
      </c>
      <c r="D172" s="41">
        <f>'[122]Part 1'!$C$20</f>
        <v>1735</v>
      </c>
      <c r="E172" s="2">
        <f>'[122]Part 1'!$C$24</f>
        <v>27142837.920000002</v>
      </c>
      <c r="G172" s="5">
        <f t="shared" ref="G172" si="636">+E172/$E$4</f>
        <v>0.301587088</v>
      </c>
      <c r="H172" s="2">
        <f t="shared" ref="H172" si="637">+E171/D171*P172</f>
        <v>94345.465950603102</v>
      </c>
      <c r="I172" s="2">
        <f>'[119]Parts 2 - 3'!$C$51</f>
        <v>70199.199999999997</v>
      </c>
      <c r="P172" s="42">
        <f>'[123]Parts 2 - 3'!$C$49</f>
        <v>6</v>
      </c>
      <c r="Q172" s="6">
        <f t="shared" ref="Q172" si="638">IF(I172&gt;0,I172,+H172)/E171</f>
        <v>2.564269155454177E-3</v>
      </c>
      <c r="R172" s="6">
        <f t="shared" ref="R172" si="639">1-(+Q172-1)^12</f>
        <v>3.0340936598865276E-2</v>
      </c>
      <c r="S172" s="6">
        <f t="shared" ref="S172" si="640">AVERAGE(R170:R172)</f>
        <v>2.9263518131418625E-2</v>
      </c>
      <c r="T172" s="6">
        <f t="shared" ref="T172" si="641">AVERAGE(R161:R172)</f>
        <v>1.934855887793736E-2</v>
      </c>
      <c r="U172" s="6">
        <f t="shared" ref="U172" si="642">AVERAGE(R155:R172)</f>
        <v>2.0956528689605163E-2</v>
      </c>
      <c r="V172" s="2">
        <f>'[124]Parts 4 - 6 '!$C$59</f>
        <v>155.43</v>
      </c>
      <c r="W172" s="2">
        <f>'[124]Parts 7-10'!$C$4</f>
        <v>25422914.079999998</v>
      </c>
      <c r="X172" s="2">
        <f>'[124]Parts 7-10'!$E$4</f>
        <v>749020.99</v>
      </c>
      <c r="Y172" s="2">
        <f>'[124]Parts 7-10'!$F$4</f>
        <v>344316.57</v>
      </c>
      <c r="Z172" s="2">
        <f>'[124]Parts 7-10'!$G$4</f>
        <v>184483.9</v>
      </c>
      <c r="AA172" s="2">
        <f>'[124]Parts 7-10'!$H$4</f>
        <v>100556.4</v>
      </c>
      <c r="AB172" s="2">
        <f>'[124]Parts 7-10'!$J$4</f>
        <v>65368.35</v>
      </c>
      <c r="AC172" s="2">
        <f>'[125]Parts 2 - 3'!$C$19</f>
        <v>0</v>
      </c>
      <c r="AD172" s="2">
        <f t="shared" ref="AD172" si="643">+AD171+AC172</f>
        <v>2018096.0599999996</v>
      </c>
      <c r="AE172" s="4">
        <f t="shared" ref="AE172" si="644">+AD172/$E$4</f>
        <v>2.2423289555555552E-2</v>
      </c>
      <c r="AF172" s="2">
        <f>'[124]Part 11'!$V$8</f>
        <v>11262300.880000003</v>
      </c>
      <c r="AG172" s="5">
        <f t="shared" ref="AG172" si="645">+AF172/$AF$4</f>
        <v>0.14809074135437217</v>
      </c>
      <c r="AH172" s="2">
        <f t="shared" ref="AH172" si="646">+$AH$2*AF172</f>
        <v>10818028.655936886</v>
      </c>
      <c r="AI172" s="2">
        <f t="shared" si="569"/>
        <v>13950000</v>
      </c>
      <c r="AJ172" s="5">
        <f t="shared" ref="AJ172" si="647">+AI172/AI$4</f>
        <v>1</v>
      </c>
      <c r="AK172" s="4">
        <f t="shared" ref="AK172" si="648">+AF172/E172</f>
        <v>0.41492716838210414</v>
      </c>
      <c r="AL172" s="9">
        <f>'[124]Parts 4 - 6 '!$C$46</f>
        <v>159106.38</v>
      </c>
      <c r="AM172" s="4">
        <f t="shared" ref="AM172" si="649">1-(+AF172-AL172)/E172</f>
        <v>0.5909346497692971</v>
      </c>
      <c r="AO172" s="8">
        <f t="shared" ref="AO172" si="650">+W172/$E172</f>
        <v>0.93663433996587764</v>
      </c>
      <c r="AP172" s="8">
        <f t="shared" ref="AP172" si="651">+X172/$E172</f>
        <v>2.7595529701339348E-2</v>
      </c>
      <c r="AQ172" s="8">
        <f t="shared" ref="AQ172" si="652">+Y172/$E172</f>
        <v>1.2685356299692335E-2</v>
      </c>
      <c r="AR172" s="8">
        <f t="shared" ref="AR172" si="653">+Z172/$E172</f>
        <v>6.7967800767090893E-3</v>
      </c>
      <c r="AS172" s="8">
        <f t="shared" ref="AS172" si="654">+AA172/$E172</f>
        <v>3.7047120974003146E-3</v>
      </c>
      <c r="AT172" s="8">
        <f t="shared" ref="AT172" si="655">+AB172/$E172</f>
        <v>2.4083093371689702E-3</v>
      </c>
    </row>
    <row r="173" spans="1:46" x14ac:dyDescent="0.25">
      <c r="A173">
        <f t="shared" si="179"/>
        <v>169</v>
      </c>
      <c r="B173" s="3">
        <f t="shared" si="201"/>
        <v>44331</v>
      </c>
      <c r="C173" s="4">
        <v>5.7500000000000002E-2</v>
      </c>
      <c r="D173" s="41">
        <f>'[126]Part 1'!$C$20</f>
        <v>1727</v>
      </c>
      <c r="E173" s="2">
        <f>'[126]Part 1'!$C$24</f>
        <v>26919185.399999999</v>
      </c>
      <c r="G173" s="5">
        <f t="shared" ref="G173" si="656">+E173/$E$4</f>
        <v>0.29910206</v>
      </c>
      <c r="H173" s="2">
        <f t="shared" ref="H173" si="657">+E172/D172*P173</f>
        <v>125154.29588472623</v>
      </c>
      <c r="I173" s="2">
        <f>'[126]Parts 2 - 3'!$C$51</f>
        <v>106018.57</v>
      </c>
      <c r="P173" s="42">
        <f>'[127]Parts 2 - 3'!$C$49</f>
        <v>8</v>
      </c>
      <c r="Q173" s="6">
        <f t="shared" ref="Q173" si="658">IF(I173&gt;0,I173,+H173)/E172</f>
        <v>3.9059500820244372E-3</v>
      </c>
      <c r="R173" s="6">
        <f t="shared" ref="R173" si="659">1-(+Q173-1)^12</f>
        <v>4.5877471048101581E-2</v>
      </c>
      <c r="S173" s="6">
        <f t="shared" ref="S173" si="660">AVERAGE(R171:R173)</f>
        <v>3.5468684037552545E-2</v>
      </c>
      <c r="T173" s="6">
        <f t="shared" ref="T173" si="661">AVERAGE(R162:R173)</f>
        <v>2.3171681465279158E-2</v>
      </c>
      <c r="U173" s="6">
        <f t="shared" ref="U173" si="662">AVERAGE(R156:R173)</f>
        <v>2.0148595864261449E-2</v>
      </c>
      <c r="V173" s="2">
        <f>'[128]Parts 4 - 6 '!$C$59</f>
        <v>0</v>
      </c>
      <c r="W173" s="2">
        <f>'[128]Parts 7-10'!$C$4</f>
        <v>25312002.099999998</v>
      </c>
      <c r="X173" s="2">
        <f>'[128]Parts 7-10'!$E$4</f>
        <v>707313.83</v>
      </c>
      <c r="Y173" s="2">
        <f>'[128]Parts 7-10'!$F$4</f>
        <v>338545.98</v>
      </c>
      <c r="Z173" s="2">
        <f>'[128]Parts 7-10'!$G$4</f>
        <v>146545.18</v>
      </c>
      <c r="AA173" s="2">
        <f>'[128]Parts 7-10'!$H$4</f>
        <v>97679.67</v>
      </c>
      <c r="AB173" s="2">
        <f>'[128]Parts 7-10'!$J$4</f>
        <v>52024.41</v>
      </c>
      <c r="AC173" s="2">
        <f>'[129]Parts 2 - 3'!$C$19</f>
        <v>14909.76</v>
      </c>
      <c r="AD173" s="2">
        <f t="shared" ref="AD173" si="663">+AD172+AC173</f>
        <v>2033005.8199999996</v>
      </c>
      <c r="AE173" s="4">
        <f t="shared" ref="AE173" si="664">+AD173/$E$4</f>
        <v>2.2588953555555551E-2</v>
      </c>
      <c r="AF173" s="2">
        <f>'[128]Part 11'!$V$8</f>
        <v>11006752.590000005</v>
      </c>
      <c r="AG173" s="5">
        <f t="shared" ref="AG173" si="665">+AF173/$AF$4</f>
        <v>0.1447304745562131</v>
      </c>
      <c r="AH173" s="2">
        <f t="shared" ref="AH173" si="666">+$AH$2*AF173</f>
        <v>10572561.166331366</v>
      </c>
      <c r="AI173" s="2">
        <f t="shared" si="569"/>
        <v>13950000</v>
      </c>
      <c r="AJ173" s="5">
        <f t="shared" ref="AJ173" si="667">+AI173/AI$4</f>
        <v>1</v>
      </c>
      <c r="AK173" s="4">
        <f t="shared" ref="AK173" si="668">+AF173/E173</f>
        <v>0.40888133970056934</v>
      </c>
      <c r="AL173" s="9">
        <f>'[128]Parts 4 - 6 '!$C$46</f>
        <v>141412.26</v>
      </c>
      <c r="AM173" s="4">
        <f t="shared" ref="AM173" si="669">1-(+AF173-AL173)/E173</f>
        <v>0.59637187498251687</v>
      </c>
      <c r="AO173" s="8">
        <f t="shared" ref="AO173" si="670">+W173/$E173</f>
        <v>0.94029599053171942</v>
      </c>
      <c r="AP173" s="8">
        <f t="shared" ref="AP173" si="671">+X173/$E173</f>
        <v>2.6275454457102554E-2</v>
      </c>
      <c r="AQ173" s="8">
        <f t="shared" ref="AQ173" si="672">+Y173/$E173</f>
        <v>1.2576382790543135E-2</v>
      </c>
      <c r="AR173" s="8">
        <f t="shared" ref="AR173" si="673">+Z173/$E173</f>
        <v>5.4438935585324217E-3</v>
      </c>
      <c r="AS173" s="8">
        <f t="shared" ref="AS173" si="674">+AA173/$E173</f>
        <v>3.6286265185424224E-3</v>
      </c>
      <c r="AT173" s="8">
        <f t="shared" ref="AT173" si="675">+AB173/$E173</f>
        <v>1.9326145730992293E-3</v>
      </c>
    </row>
    <row r="174" spans="1:46" x14ac:dyDescent="0.25">
      <c r="A174">
        <f t="shared" si="179"/>
        <v>170</v>
      </c>
      <c r="B174" s="3">
        <f t="shared" si="201"/>
        <v>44361</v>
      </c>
      <c r="C174" s="4">
        <v>5.7500000000000002E-2</v>
      </c>
      <c r="D174" s="41">
        <f>'[130]Part 1'!$C$20</f>
        <v>1721</v>
      </c>
      <c r="E174" s="2">
        <f>'[130]Part 1'!$C$24</f>
        <v>26657618.57</v>
      </c>
      <c r="G174" s="5">
        <f t="shared" ref="G174" si="676">+E174/$E$4</f>
        <v>0.29619576188888891</v>
      </c>
      <c r="H174" s="2">
        <f t="shared" ref="H174" si="677">+E173/D173*P174</f>
        <v>93523.516155182399</v>
      </c>
      <c r="I174" s="2">
        <f>'[130]Parts 2 - 3'!$C$51</f>
        <v>123022.73</v>
      </c>
      <c r="P174" s="42">
        <f>'[131]Parts 2 - 3'!$C$49</f>
        <v>6</v>
      </c>
      <c r="Q174" s="6">
        <f t="shared" ref="Q174" si="678">IF(I174&gt;0,I174,+H174)/E173</f>
        <v>4.5700762549820695E-3</v>
      </c>
      <c r="R174" s="6">
        <f t="shared" ref="R174" si="679">1-(+Q174-1)^12</f>
        <v>5.3483250036355456E-2</v>
      </c>
      <c r="S174" s="6">
        <f t="shared" ref="S174" si="680">AVERAGE(R172:R174)</f>
        <v>4.3233885894440771E-2</v>
      </c>
      <c r="T174" s="6">
        <f t="shared" ref="T174" si="681">AVERAGE(R163:R174)</f>
        <v>2.7601044762223914E-2</v>
      </c>
      <c r="U174" s="6">
        <f t="shared" ref="U174" si="682">AVERAGE(R157:R174)</f>
        <v>2.224295658126535E-2</v>
      </c>
      <c r="V174" s="2">
        <f>'[132]Parts 4 - 6 '!$C$59</f>
        <v>0</v>
      </c>
      <c r="W174" s="2">
        <f>'[132]Parts 7-10'!$C$4</f>
        <v>25312002.099999998</v>
      </c>
      <c r="X174" s="2">
        <f>'[132]Parts 7-10'!$E$4</f>
        <v>707313.83</v>
      </c>
      <c r="Y174" s="2">
        <f>'[132]Parts 7-10'!$F$4</f>
        <v>338545.98</v>
      </c>
      <c r="Z174" s="2">
        <f>'[132]Parts 7-10'!$G$4</f>
        <v>146545.18</v>
      </c>
      <c r="AA174" s="2">
        <f>'[132]Parts 7-10'!$H$4</f>
        <v>97679.67</v>
      </c>
      <c r="AB174" s="2">
        <f>'[132]Parts 7-10'!$J$4</f>
        <v>52024.41</v>
      </c>
      <c r="AC174" s="2">
        <f>'[133]Parts 2 - 3'!$C$19</f>
        <v>10807.949999999999</v>
      </c>
      <c r="AD174" s="2">
        <f t="shared" ref="AD174" si="683">+AD173+AC174</f>
        <v>2043813.7699999996</v>
      </c>
      <c r="AE174" s="4">
        <f t="shared" ref="AE174" si="684">+AD174/$E$4</f>
        <v>2.2709041888888885E-2</v>
      </c>
      <c r="AF174" s="2">
        <f>'[132]Part 11'!$V$8</f>
        <v>11006752.590000005</v>
      </c>
      <c r="AG174" s="5">
        <f t="shared" ref="AG174" si="685">+AF174/$AF$4</f>
        <v>0.1447304745562131</v>
      </c>
      <c r="AH174" s="2">
        <f t="shared" ref="AH174" si="686">+$AH$2*AF174</f>
        <v>10572561.166331366</v>
      </c>
      <c r="AI174" s="2">
        <f t="shared" si="569"/>
        <v>13950000</v>
      </c>
      <c r="AJ174" s="5">
        <f t="shared" ref="AJ174" si="687">+AI174/AI$4</f>
        <v>1</v>
      </c>
      <c r="AK174" s="4">
        <f t="shared" ref="AK174" si="688">+AF174/E174</f>
        <v>0.41289331832464604</v>
      </c>
      <c r="AL174" s="9">
        <f>'[132]Parts 4 - 6 '!$C$45</f>
        <v>133596.75</v>
      </c>
      <c r="AM174" s="4">
        <f t="shared" ref="AM174" si="689">1-(+AF174-AL174)/E174</f>
        <v>0.59211826024713032</v>
      </c>
      <c r="AO174" s="8">
        <f t="shared" ref="AO174" si="690">+W174/$E174</f>
        <v>0.94952225509317123</v>
      </c>
      <c r="AP174" s="8">
        <f t="shared" ref="AP174" si="691">+X174/$E174</f>
        <v>2.653327146018955E-2</v>
      </c>
      <c r="AQ174" s="8">
        <f t="shared" ref="AQ174" si="692">+Y174/$E174</f>
        <v>1.2699783332521438E-2</v>
      </c>
      <c r="AR174" s="8">
        <f t="shared" ref="AR174" si="693">+Z174/$E174</f>
        <v>5.4973095070434868E-3</v>
      </c>
      <c r="AS174" s="8">
        <f t="shared" ref="AS174" si="694">+AA174/$E174</f>
        <v>3.6642309118312213E-3</v>
      </c>
      <c r="AT174" s="8">
        <f t="shared" ref="AT174" si="695">+AB174/$E174</f>
        <v>1.9515775523379769E-3</v>
      </c>
    </row>
    <row r="175" spans="1:46" x14ac:dyDescent="0.25">
      <c r="A175">
        <f t="shared" si="179"/>
        <v>171</v>
      </c>
      <c r="B175" s="3">
        <f t="shared" si="201"/>
        <v>44391</v>
      </c>
      <c r="C175" s="4">
        <v>5.7500000000000002E-2</v>
      </c>
      <c r="D175" s="41">
        <f>'[134]Part 1'!$C$20</f>
        <v>1718</v>
      </c>
      <c r="E175" s="2">
        <f>'[134]Part 1'!$C$24</f>
        <v>26526974.289999999</v>
      </c>
      <c r="G175" s="5">
        <f t="shared" ref="G175" si="696">+E175/$E$4</f>
        <v>0.29474415877777776</v>
      </c>
      <c r="H175" s="2">
        <f t="shared" ref="H175" si="697">+E174/D174*P175</f>
        <v>46468.82958163858</v>
      </c>
      <c r="I175" s="2">
        <f>'[134]Parts 2 - 3'!$C$51</f>
        <v>24243.96</v>
      </c>
      <c r="P175" s="42">
        <f>'[135]Parts 2 - 3'!$C$49</f>
        <v>3</v>
      </c>
      <c r="Q175" s="6">
        <f t="shared" ref="Q175" si="698">IF(I175&gt;0,I175,+H175)/E174</f>
        <v>9.0945708208473323E-4</v>
      </c>
      <c r="R175" s="6">
        <f t="shared" ref="R175" si="699">1-(+Q175-1)^12</f>
        <v>1.0859060731785886E-2</v>
      </c>
      <c r="S175" s="6">
        <f t="shared" ref="S175" si="700">AVERAGE(R173:R175)</f>
        <v>3.6739927272080974E-2</v>
      </c>
      <c r="T175" s="6">
        <f t="shared" ref="T175" si="701">AVERAGE(R164:R175)</f>
        <v>2.7379991517886327E-2</v>
      </c>
      <c r="U175" s="6">
        <f t="shared" ref="U175" si="702">AVERAGE(R158:R175)</f>
        <v>2.106283914470132E-2</v>
      </c>
      <c r="V175" s="2">
        <f>'[136]Parts 4 - 6 '!$C$59</f>
        <v>0</v>
      </c>
      <c r="W175" s="2">
        <f>'[136]Parts 7-10'!$C$4</f>
        <v>25027791.330000002</v>
      </c>
      <c r="X175" s="2">
        <f>'[136]Parts 7-10'!$E$4</f>
        <v>650766.34</v>
      </c>
      <c r="Y175" s="2">
        <f>'[136]Parts 7-10'!$F$4</f>
        <v>228135.18</v>
      </c>
      <c r="Z175" s="2">
        <f>'[136]Parts 7-10'!$G$4</f>
        <v>184187.86</v>
      </c>
      <c r="AA175" s="2">
        <f>'[136]Parts 7-10'!$H$4</f>
        <v>100430.49</v>
      </c>
      <c r="AB175" s="2">
        <f>'[136]Parts 7-10'!$J$4</f>
        <v>62683.1</v>
      </c>
      <c r="AC175" s="2">
        <f>'[137]Parts 2 - 3'!$C$19</f>
        <v>30830.53</v>
      </c>
      <c r="AD175" s="2">
        <f t="shared" ref="AD175" si="703">+AD174+AC175</f>
        <v>2074644.2999999996</v>
      </c>
      <c r="AE175" s="4">
        <f t="shared" ref="AE175" si="704">+AD175/$E$4</f>
        <v>2.305160333333333E-2</v>
      </c>
      <c r="AF175" s="2">
        <f>'[136]Part 11'!$V$8</f>
        <v>10554453.420000004</v>
      </c>
      <c r="AG175" s="5">
        <f t="shared" ref="AG175" si="705">+AF175/$AF$4</f>
        <v>0.1387830824457594</v>
      </c>
      <c r="AH175" s="2">
        <f t="shared" ref="AH175" si="706">+$AH$2*AF175</f>
        <v>10138104.172662726</v>
      </c>
      <c r="AI175" s="2">
        <f t="shared" si="569"/>
        <v>13950000</v>
      </c>
      <c r="AJ175" s="5">
        <f t="shared" ref="AJ175" si="707">+AI175/AI$4</f>
        <v>1</v>
      </c>
      <c r="AK175" s="4">
        <f t="shared" ref="AK175" si="708">+AF175/E175</f>
        <v>0.3978762637840218</v>
      </c>
      <c r="AL175" s="9">
        <f>'[136]Parts 4 - 6 '!$C$45</f>
        <v>143393.88</v>
      </c>
      <c r="AM175" s="4">
        <f t="shared" ref="AM175" si="709">1-(+AF175-AL175)/E175</f>
        <v>0.60752932369204615</v>
      </c>
      <c r="AO175" s="8">
        <f t="shared" ref="AO175" si="710">+W175/$E175</f>
        <v>0.94348458502615007</v>
      </c>
      <c r="AP175" s="8">
        <f t="shared" ref="AP175" si="711">+X175/$E175</f>
        <v>2.4532249056588504E-2</v>
      </c>
      <c r="AQ175" s="8">
        <f t="shared" ref="AQ175" si="712">+Y175/$E175</f>
        <v>8.6001206736194269E-3</v>
      </c>
      <c r="AR175" s="8">
        <f t="shared" ref="AR175" si="713">+Z175/$E175</f>
        <v>6.9434175939709101E-3</v>
      </c>
      <c r="AS175" s="8">
        <f t="shared" ref="AS175" si="714">+AA175/$E175</f>
        <v>3.7859760748461904E-3</v>
      </c>
      <c r="AT175" s="8">
        <f t="shared" ref="AT175" si="715">+AB175/$E175</f>
        <v>2.3629947130317818E-3</v>
      </c>
    </row>
    <row r="176" spans="1:46" x14ac:dyDescent="0.25">
      <c r="A176">
        <f t="shared" si="179"/>
        <v>172</v>
      </c>
      <c r="B176" s="3">
        <f t="shared" si="201"/>
        <v>44421</v>
      </c>
      <c r="C176" s="4">
        <v>5.7500000000000002E-2</v>
      </c>
      <c r="D176" s="41">
        <f>'[138]Part 1'!$C$20</f>
        <v>1709</v>
      </c>
      <c r="E176" s="2">
        <f>'[138]Part 1'!$C$24</f>
        <v>26304455.16</v>
      </c>
      <c r="G176" s="5">
        <f t="shared" ref="G176" si="716">+E176/$E$4</f>
        <v>0.29227172400000001</v>
      </c>
      <c r="H176" s="2">
        <f t="shared" ref="H176" si="717">+E175/D175*P176</f>
        <v>138965.52305587893</v>
      </c>
      <c r="I176" s="2">
        <f>'[138]Parts 2 - 3'!$C$51</f>
        <v>119803.14</v>
      </c>
      <c r="P176" s="42">
        <f>'[139]Parts 2 - 3'!$C$49</f>
        <v>9</v>
      </c>
      <c r="Q176" s="6">
        <f t="shared" ref="Q176" si="718">IF(I176&gt;0,I176,+H176)/E175</f>
        <v>4.5162761003301743E-3</v>
      </c>
      <c r="R176" s="6">
        <f t="shared" ref="R176" si="719">1-(+Q176-1)^12</f>
        <v>5.2869189080736012E-2</v>
      </c>
      <c r="S176" s="6">
        <f t="shared" ref="S176" si="720">AVERAGE(R174:R176)</f>
        <v>3.9070499949625782E-2</v>
      </c>
      <c r="T176" s="6">
        <f t="shared" ref="T176" si="721">AVERAGE(R165:R176)</f>
        <v>3.1607127094896943E-2</v>
      </c>
      <c r="U176" s="6">
        <f t="shared" ref="U176" si="722">AVERAGE(R159:R176)</f>
        <v>2.2857887722488264E-2</v>
      </c>
      <c r="V176" s="2">
        <f>'[140]Parts 4 - 6 '!$C$59</f>
        <v>0</v>
      </c>
      <c r="W176" s="2">
        <f>'[140]Parts 7-10'!$C$4</f>
        <v>23612785.41</v>
      </c>
      <c r="X176" s="2">
        <f>'[140]Parts 7-10'!$E$4</f>
        <v>783148.23</v>
      </c>
      <c r="Y176" s="2">
        <f>'[140]Parts 7-10'!$F$4</f>
        <v>648060.79</v>
      </c>
      <c r="Z176" s="2">
        <f>'[140]Parts 7-10'!$G$4</f>
        <v>115920.77</v>
      </c>
      <c r="AA176" s="2">
        <f>'[140]Parts 7-10'!$H$4</f>
        <v>145203.25</v>
      </c>
      <c r="AB176" s="2">
        <f>'[140]Parts 7-10'!$J$4</f>
        <v>109734.1</v>
      </c>
      <c r="AC176" s="2">
        <f>'[141]Parts 2 - 3'!$C$19</f>
        <v>14070.34</v>
      </c>
      <c r="AD176" s="2">
        <f t="shared" ref="AD176" si="723">+AD175+AC176</f>
        <v>2088714.6399999997</v>
      </c>
      <c r="AE176" s="4">
        <f t="shared" ref="AE176" si="724">+AD176/$E$4</f>
        <v>2.3207940444444439E-2</v>
      </c>
      <c r="AF176" s="2">
        <f>'[140]Part 11'!$V$8</f>
        <v>10323670.790000003</v>
      </c>
      <c r="AG176" s="5">
        <f t="shared" ref="AG176" si="725">+AF176/$AF$4</f>
        <v>0.13574846535174231</v>
      </c>
      <c r="AH176" s="2">
        <f t="shared" ref="AH176" si="726">+$AH$2*AF176</f>
        <v>9916425.3939447757</v>
      </c>
      <c r="AI176" s="2">
        <f t="shared" si="569"/>
        <v>13950000</v>
      </c>
      <c r="AJ176" s="5">
        <f t="shared" ref="AJ176" si="727">+AI176/AI$4</f>
        <v>1</v>
      </c>
      <c r="AK176" s="4">
        <f t="shared" ref="AK176" si="728">+AF176/E176</f>
        <v>0.39246852775338009</v>
      </c>
      <c r="AL176" s="9">
        <f>'[140]Parts 4 - 6 '!$C$45</f>
        <v>132524.37</v>
      </c>
      <c r="AM176" s="4">
        <f t="shared" ref="AM176" si="729">1-(+AF176-AL176)/E176</f>
        <v>0.61256956823431108</v>
      </c>
      <c r="AO176" s="8">
        <f t="shared" ref="AO176" si="730">+W176/$E176</f>
        <v>0.89767247663456262</v>
      </c>
      <c r="AP176" s="8">
        <f t="shared" ref="AP176" si="731">+X176/$E176</f>
        <v>2.9772455853444103E-2</v>
      </c>
      <c r="AQ176" s="8">
        <f t="shared" ref="AQ176" si="732">+Y176/$E176</f>
        <v>2.4636921238554179E-2</v>
      </c>
      <c r="AR176" s="8">
        <f t="shared" ref="AR176" si="733">+Z176/$E176</f>
        <v>4.4068873236452928E-3</v>
      </c>
      <c r="AS176" s="8">
        <f t="shared" ref="AS176" si="734">+AA176/$E176</f>
        <v>5.5201010291520518E-3</v>
      </c>
      <c r="AT176" s="8">
        <f t="shared" ref="AT176" si="735">+AB176/$E176</f>
        <v>4.1716925643404965E-3</v>
      </c>
    </row>
    <row r="177" spans="1:46" x14ac:dyDescent="0.25">
      <c r="A177">
        <f t="shared" si="179"/>
        <v>173</v>
      </c>
      <c r="B177" s="3">
        <f t="shared" si="201"/>
        <v>44451</v>
      </c>
      <c r="C177" s="4">
        <v>5.7500000000000002E-2</v>
      </c>
      <c r="D177" s="41">
        <f>'[142]Part 1'!$C$20</f>
        <v>1706</v>
      </c>
      <c r="E177" s="2">
        <f>'[142]Part 1'!$C$24</f>
        <v>26158871.949999999</v>
      </c>
      <c r="G177" s="5">
        <f t="shared" ref="G177" si="736">+E177/$E$4</f>
        <v>0.2906541327777778</v>
      </c>
      <c r="H177" s="2">
        <f t="shared" ref="H177:H182" si="737">+E176/D176*P177</f>
        <v>46175.169970743125</v>
      </c>
      <c r="I177" s="2">
        <f>'[142]Parts 2 - 3'!$C$51</f>
        <v>19974.25</v>
      </c>
      <c r="P177" s="42">
        <f>'[143]Parts 2 - 3'!$C$49</f>
        <v>3</v>
      </c>
      <c r="Q177" s="6">
        <f t="shared" ref="Q177" si="738">IF(I177&gt;0,I177,+H177)/E176</f>
        <v>7.59348554399026E-4</v>
      </c>
      <c r="R177" s="6">
        <f t="shared" ref="R177" si="739">1-(+Q177-1)^12</f>
        <v>9.074222540015886E-3</v>
      </c>
      <c r="S177" s="6">
        <f t="shared" ref="S177" si="740">AVERAGE(R175:R177)</f>
        <v>2.4267490784179262E-2</v>
      </c>
      <c r="T177" s="6">
        <f t="shared" ref="T177" si="741">AVERAGE(R166:R177)</f>
        <v>3.1216121010965575E-2</v>
      </c>
      <c r="U177" s="6">
        <f t="shared" ref="U177" si="742">AVERAGE(R160:R177)</f>
        <v>2.2463661109569062E-2</v>
      </c>
      <c r="V177" s="2">
        <f>'[144]Parts 4 - 6 '!$C$59</f>
        <v>0</v>
      </c>
      <c r="W177" s="2">
        <f>'[140]Parts 7-10'!$C$4</f>
        <v>23612785.41</v>
      </c>
      <c r="X177" s="2">
        <f>'[144]Parts 7-10'!$E$4</f>
        <v>902246.31</v>
      </c>
      <c r="Y177" s="2">
        <f>'[144]Parts 7-10'!$F$4</f>
        <v>652863.94999999995</v>
      </c>
      <c r="Z177" s="2">
        <f>'[144]Parts 7-10'!$G$4</f>
        <v>152745.37</v>
      </c>
      <c r="AA177" s="2">
        <f>'[144]Parts 7-10'!$H$4</f>
        <v>127134.85</v>
      </c>
      <c r="AB177" s="2">
        <f>'[144]Parts 7-10'!$J$4</f>
        <v>88992.11</v>
      </c>
      <c r="AC177" s="2">
        <f>'[145]Parts 2 - 3'!$C$19</f>
        <v>60406.58</v>
      </c>
      <c r="AD177" s="2">
        <f t="shared" ref="AD177" si="743">+AD176+AC177</f>
        <v>2149121.2199999997</v>
      </c>
      <c r="AE177" s="4">
        <f t="shared" ref="AE177" si="744">+AD177/$E$4</f>
        <v>2.3879124666666664E-2</v>
      </c>
      <c r="AF177" s="2">
        <f>'[144]Part 11'!$V$8</f>
        <v>10154119.220000003</v>
      </c>
      <c r="AG177" s="5">
        <f t="shared" ref="AG177" si="745">+AF177/$AF$4</f>
        <v>0.13351899040105197</v>
      </c>
      <c r="AH177" s="2">
        <f t="shared" ref="AH177" si="746">+$AH$2*AF177</f>
        <v>9753562.2487968467</v>
      </c>
      <c r="AI177" s="2">
        <f t="shared" si="569"/>
        <v>13950000</v>
      </c>
      <c r="AJ177" s="5">
        <f t="shared" ref="AJ177" si="747">+AI177/AI$4</f>
        <v>1</v>
      </c>
      <c r="AK177" s="4">
        <f t="shared" ref="AK177" si="748">+AF177/E177</f>
        <v>0.38817114283095083</v>
      </c>
      <c r="AL177" s="9">
        <f>'[144]Parts 4 - 6 '!$C$45</f>
        <v>129626.58</v>
      </c>
      <c r="AM177" s="4">
        <f t="shared" ref="AM177" si="749">1-(+AF177-AL177)/E177</f>
        <v>0.61678421534534089</v>
      </c>
      <c r="AO177" s="8">
        <f t="shared" ref="AO177" si="750">+W177/$E177</f>
        <v>0.9026683358186629</v>
      </c>
      <c r="AP177" s="8">
        <f t="shared" ref="AP177" si="751">+X177/$E177</f>
        <v>3.4491025137649338E-2</v>
      </c>
      <c r="AQ177" s="8">
        <f t="shared" ref="AQ177" si="752">+Y177/$E177</f>
        <v>2.4957649215450975E-2</v>
      </c>
      <c r="AR177" s="8">
        <f t="shared" ref="AR177" si="753">+Z177/$E177</f>
        <v>5.83914208120125E-3</v>
      </c>
      <c r="AS177" s="8">
        <f t="shared" ref="AS177" si="754">+AA177/$E177</f>
        <v>4.8601044511019141E-3</v>
      </c>
      <c r="AT177" s="8">
        <f t="shared" ref="AT177" si="755">+AB177/$E177</f>
        <v>3.4019857649098665E-3</v>
      </c>
    </row>
    <row r="178" spans="1:46" x14ac:dyDescent="0.25">
      <c r="A178">
        <f t="shared" si="179"/>
        <v>174</v>
      </c>
      <c r="B178" s="3">
        <f t="shared" si="201"/>
        <v>44481</v>
      </c>
      <c r="C178" s="4">
        <v>5.7500000000000002E-2</v>
      </c>
      <c r="D178" s="41">
        <f>'[146]Part 1'!$C$20</f>
        <v>1698</v>
      </c>
      <c r="E178" s="2">
        <f>'[146]Part 1'!$C$24</f>
        <v>25971781.579999998</v>
      </c>
      <c r="G178" s="5">
        <f t="shared" ref="G178" si="756">+E178/$E$4</f>
        <v>0.28857535088888886</v>
      </c>
      <c r="H178" s="2">
        <f t="shared" si="737"/>
        <v>122667.62930832357</v>
      </c>
      <c r="I178" s="2">
        <f>'[146]Parts 2 - 3'!$C$51</f>
        <v>83744.69</v>
      </c>
      <c r="P178" s="42">
        <f>'[147]Parts 2 - 3'!$C$49</f>
        <v>8</v>
      </c>
      <c r="Q178" s="6">
        <f t="shared" ref="Q178" si="757">IF(I178&gt;0,I178,+H178)/E177</f>
        <v>3.2013876653423506E-3</v>
      </c>
      <c r="R178" s="6">
        <f t="shared" ref="R178" si="758">1-(+Q178-1)^12</f>
        <v>3.7747392320374829E-2</v>
      </c>
      <c r="S178" s="6">
        <f t="shared" ref="S178" si="759">AVERAGE(R176:R178)</f>
        <v>3.3230267980375573E-2</v>
      </c>
      <c r="T178" s="6">
        <f t="shared" ref="T178" si="760">AVERAGE(R167:R178)</f>
        <v>3.1449712518704077E-2</v>
      </c>
      <c r="U178" s="6">
        <f t="shared" ref="U178" si="761">AVERAGE(R161:R178)</f>
        <v>2.4560738460700997E-2</v>
      </c>
      <c r="V178" s="2">
        <f>'[148]Parts 4 - 6 '!$C$59</f>
        <v>0</v>
      </c>
      <c r="W178" s="2">
        <f>'[140]Parts 7-10'!$C$4</f>
        <v>23612785.41</v>
      </c>
      <c r="X178" s="2">
        <f>'[148]Parts 7-10'!$E$4</f>
        <v>974825.37</v>
      </c>
      <c r="Y178" s="2">
        <f>'[148]Parts 7-10'!$F$4</f>
        <v>475443.57</v>
      </c>
      <c r="Z178" s="2">
        <f>'[148]Parts 7-10'!$G$4</f>
        <v>390419.33</v>
      </c>
      <c r="AA178" s="2">
        <f>'[148]Parts 7-10'!$H$4</f>
        <v>89702.66</v>
      </c>
      <c r="AB178" s="2">
        <f>'[148]Parts 7-10'!$J$4</f>
        <v>120426.7</v>
      </c>
      <c r="AC178" s="2">
        <f>'[149]Parts 2 - 3'!$C$19</f>
        <v>20391.330000000002</v>
      </c>
      <c r="AD178" s="2">
        <f t="shared" ref="AD178" si="762">+AD177+AC178</f>
        <v>2169512.5499999998</v>
      </c>
      <c r="AE178" s="4">
        <f t="shared" ref="AE178" si="763">+AD178/$E$4</f>
        <v>2.4105694999999996E-2</v>
      </c>
      <c r="AF178" s="2">
        <f>'[148]Part 11'!$V$8</f>
        <v>9939116.2300000023</v>
      </c>
      <c r="AG178" s="5">
        <f t="shared" ref="AG178" si="764">+AF178/$AF$4</f>
        <v>0.13069186364234059</v>
      </c>
      <c r="AH178" s="2">
        <f t="shared" ref="AH178" si="765">+$AH$2*AF178</f>
        <v>9547040.6390729807</v>
      </c>
      <c r="AI178" s="2">
        <f t="shared" si="569"/>
        <v>13950000</v>
      </c>
      <c r="AJ178" s="5">
        <f t="shared" ref="AJ178" si="766">+AI178/AI$4</f>
        <v>1</v>
      </c>
      <c r="AK178" s="4">
        <f t="shared" ref="AK178" si="767">+AF178/E178</f>
        <v>0.38268904269754772</v>
      </c>
      <c r="AL178" s="9">
        <f>'[148]Parts 4 - 6 '!$C$45</f>
        <v>140247.41999999998</v>
      </c>
      <c r="AM178" s="4">
        <f t="shared" ref="AM178" si="768">1-(+AF178-AL178)/E178</f>
        <v>0.62271094958130313</v>
      </c>
      <c r="AO178" s="8">
        <f t="shared" ref="AO178" si="769">+W178/$E178</f>
        <v>0.90917079897912811</v>
      </c>
      <c r="AP178" s="8">
        <f t="shared" ref="AP178" si="770">+X178/$E178</f>
        <v>3.7534020028517433E-2</v>
      </c>
      <c r="AQ178" s="8">
        <f t="shared" ref="AQ178" si="771">+Y178/$E178</f>
        <v>1.8306159265027981E-2</v>
      </c>
      <c r="AR178" s="8">
        <f t="shared" ref="AR178" si="772">+Z178/$E178</f>
        <v>1.5032443145935314E-2</v>
      </c>
      <c r="AS178" s="8">
        <f t="shared" ref="AS178" si="773">+AA178/$E178</f>
        <v>3.4538508543856318E-3</v>
      </c>
      <c r="AT178" s="8">
        <f t="shared" ref="AT178" si="774">+AB178/$E178</f>
        <v>4.6368286145120124E-3</v>
      </c>
    </row>
    <row r="179" spans="1:46" x14ac:dyDescent="0.25">
      <c r="A179">
        <f t="shared" si="179"/>
        <v>175</v>
      </c>
      <c r="B179" s="3">
        <f t="shared" si="201"/>
        <v>44511</v>
      </c>
      <c r="C179" s="4">
        <f>'[67]Part 1'!$C$6</f>
        <v>0</v>
      </c>
      <c r="D179" s="41">
        <f>'[150]Part 1'!$C$20</f>
        <v>1684</v>
      </c>
      <c r="E179" s="2">
        <f>'[150]Part 1'!$C$24</f>
        <v>25594920.75</v>
      </c>
      <c r="G179" s="5">
        <f t="shared" ref="G179" si="775">+E179/$E$4</f>
        <v>0.28438800833333333</v>
      </c>
      <c r="H179" s="2">
        <f t="shared" si="737"/>
        <v>122364.10638398114</v>
      </c>
      <c r="I179" s="2">
        <f>'[150]Parts 2 - 3'!$C$51</f>
        <v>82950.240000000005</v>
      </c>
      <c r="P179" s="42">
        <f>'[151]Parts 2 - 3'!$C$49</f>
        <v>8</v>
      </c>
      <c r="Q179" s="6">
        <f t="shared" ref="Q179" si="776">IF(I179&gt;0,I179,+H179)/E178</f>
        <v>3.1938602188106039E-3</v>
      </c>
      <c r="R179" s="6">
        <f t="shared" ref="R179" si="777">1-(+Q179-1)^12</f>
        <v>3.7660189880702633E-2</v>
      </c>
      <c r="S179" s="6">
        <f t="shared" ref="S179" si="778">AVERAGE(R177:R179)</f>
        <v>2.8160601580364448E-2</v>
      </c>
      <c r="T179" s="6">
        <f t="shared" ref="T179" si="779">AVERAGE(R168:R179)</f>
        <v>3.3427377969947027E-2</v>
      </c>
      <c r="U179" s="6">
        <f t="shared" ref="U179" si="780">AVERAGE(R162:R179)</f>
        <v>2.6652971231851143E-2</v>
      </c>
      <c r="V179" s="2">
        <f>'[152]Parts 4 - 6 '!$C$59</f>
        <v>0</v>
      </c>
      <c r="W179" s="2">
        <f>'[152]Parts 7-10'!$C$4</f>
        <v>23277645.449999999</v>
      </c>
      <c r="X179" s="2">
        <f>'[152]Parts 7-10'!$E$4</f>
        <v>937116.86</v>
      </c>
      <c r="Y179" s="2">
        <f>'[152]Parts 7-10'!$F$4</f>
        <v>637744.04</v>
      </c>
      <c r="Z179" s="2">
        <f>'[152]Parts 7-10'!$G$4</f>
        <v>371673.91</v>
      </c>
      <c r="AA179" s="2">
        <f>'[152]Parts 7-10'!$H$4</f>
        <v>127902.6</v>
      </c>
      <c r="AB179" s="2">
        <f>'[152]Parts 7-10'!$J$4</f>
        <v>87539.41</v>
      </c>
      <c r="AC179" s="2">
        <f>'[153]Parts 2 - 3'!$C$19</f>
        <v>26241.19</v>
      </c>
      <c r="AD179" s="2">
        <f t="shared" ref="AD179" si="781">+AD178+AC179</f>
        <v>2195753.7399999998</v>
      </c>
      <c r="AE179" s="4">
        <f t="shared" ref="AE179" si="782">+AD179/$E$4</f>
        <v>2.4397263777777775E-2</v>
      </c>
      <c r="AF179" s="2">
        <f>'[152]Part 11'!$V$8</f>
        <v>9722327.450000003</v>
      </c>
      <c r="AG179" s="5">
        <f t="shared" ref="AG179" si="783">+AF179/$AF$4</f>
        <v>0.12784125509533206</v>
      </c>
      <c r="AH179" s="2">
        <f t="shared" ref="AH179" si="784">+$AH$2*AF179</f>
        <v>9338803.6847140063</v>
      </c>
      <c r="AI179" s="2">
        <f t="shared" si="569"/>
        <v>13950000</v>
      </c>
      <c r="AJ179" s="5">
        <f t="shared" ref="AJ179" si="785">+AI179/AI$4</f>
        <v>1</v>
      </c>
      <c r="AK179" s="4">
        <f t="shared" ref="AK179" si="786">+AF179/E179</f>
        <v>0.37985378212198617</v>
      </c>
      <c r="AL179" s="9">
        <f>'[152]Parts 4 - 6 '!$C$45</f>
        <v>124798.01999999999</v>
      </c>
      <c r="AM179" s="4">
        <f t="shared" ref="AM179" si="787">1-(+AF179-AL179)/E179</f>
        <v>0.62502210795085178</v>
      </c>
      <c r="AO179" s="8">
        <f t="shared" ref="AO179" si="788">+W179/$E179</f>
        <v>0.90946347040359554</v>
      </c>
      <c r="AP179" s="8">
        <f t="shared" ref="AP179" si="789">+X179/$E179</f>
        <v>3.6613391741015647E-2</v>
      </c>
      <c r="AQ179" s="8">
        <f t="shared" ref="AQ179" si="790">+Y179/$E179</f>
        <v>2.4916820264036178E-2</v>
      </c>
      <c r="AR179" s="8">
        <f t="shared" ref="AR179" si="791">+Z179/$E179</f>
        <v>1.4521393272921151E-2</v>
      </c>
      <c r="AS179" s="8">
        <f t="shared" ref="AS179" si="792">+AA179/$E179</f>
        <v>4.9971867953527462E-3</v>
      </c>
      <c r="AT179" s="8">
        <f t="shared" ref="AT179" si="793">+AB179/$E179</f>
        <v>3.4201867962415943E-3</v>
      </c>
    </row>
    <row r="180" spans="1:46" x14ac:dyDescent="0.25">
      <c r="A180">
        <f t="shared" si="179"/>
        <v>176</v>
      </c>
      <c r="B180" s="3">
        <f t="shared" si="201"/>
        <v>44541</v>
      </c>
      <c r="C180" s="4">
        <f>'[67]Part 1'!$C$6</f>
        <v>0</v>
      </c>
      <c r="D180" s="41">
        <f>'[154]Part 1'!$C$20</f>
        <v>1684</v>
      </c>
      <c r="E180" s="2">
        <f>'[154]Part 1'!$C$24</f>
        <v>25594920.75</v>
      </c>
      <c r="G180" s="5">
        <f t="shared" ref="G180" si="794">+E180/$E$4</f>
        <v>0.28438800833333333</v>
      </c>
      <c r="H180" s="2">
        <f t="shared" si="737"/>
        <v>121591.07244655582</v>
      </c>
      <c r="I180" s="2">
        <f>'[154]Parts 2 - 3'!$C$51</f>
        <v>82950.240000000005</v>
      </c>
      <c r="P180" s="42">
        <f>'[155]Parts 2 - 3'!$C$49</f>
        <v>8</v>
      </c>
      <c r="Q180" s="6">
        <f t="shared" ref="Q180" si="795">IF(I180&gt;0,I180,+H180)/E179</f>
        <v>3.240886768520274E-3</v>
      </c>
      <c r="R180" s="6">
        <f t="shared" ref="R180" si="796">1-(+Q180-1)^12</f>
        <v>3.8204854825598877E-2</v>
      </c>
      <c r="S180" s="6">
        <f t="shared" ref="S180" si="797">AVERAGE(R178:R180)</f>
        <v>3.7870812342225446E-2</v>
      </c>
      <c r="T180" s="6">
        <f t="shared" ref="T180" si="798">AVERAGE(R169:R180)</f>
        <v>3.2788756232465577E-2</v>
      </c>
      <c r="U180" s="6">
        <f t="shared" ref="U180" si="799">AVERAGE(R163:R180)</f>
        <v>2.875708036255006E-2</v>
      </c>
      <c r="V180" s="2">
        <f>'[156]Parts 4 - 6 '!$C$59</f>
        <v>0</v>
      </c>
      <c r="W180" s="2">
        <f>'[156]Parts 7-10'!$C$4</f>
        <v>22756314.079999998</v>
      </c>
      <c r="X180" s="2">
        <f>'[156]Parts 7-10'!$E$4</f>
        <v>1047194.21</v>
      </c>
      <c r="Y180" s="2">
        <f>'[156]Parts 7-10'!$F$4</f>
        <v>821142.19</v>
      </c>
      <c r="Z180" s="2">
        <f>'[156]Parts 7-10'!$G$4</f>
        <v>238557.98</v>
      </c>
      <c r="AA180" s="2">
        <f>'[156]Parts 7-10'!$H$4</f>
        <v>249045.79</v>
      </c>
      <c r="AB180" s="2">
        <f>'[156]Parts 7-10'!$J$4</f>
        <v>88835.11</v>
      </c>
      <c r="AC180" s="2">
        <f>'[157]Ene-22'!$C$19</f>
        <v>0</v>
      </c>
      <c r="AD180" s="2">
        <f t="shared" ref="AD180" si="800">+AD179+AC180</f>
        <v>2195753.7399999998</v>
      </c>
      <c r="AE180" s="4">
        <f t="shared" ref="AE180" si="801">+AD180/$E$4</f>
        <v>2.4397263777777775E-2</v>
      </c>
      <c r="AF180" s="2">
        <f>'[156]Part 11'!$V$8</f>
        <v>9506968.0500000026</v>
      </c>
      <c r="AG180" s="5">
        <f t="shared" ref="AG180" si="802">+AF180/$AF$4</f>
        <v>0.1250094418145957</v>
      </c>
      <c r="AH180" s="2">
        <f t="shared" ref="AH180" si="803">+$AH$2*AF180</f>
        <v>9131939.7245562151</v>
      </c>
      <c r="AI180" s="2">
        <f t="shared" si="569"/>
        <v>13950000</v>
      </c>
      <c r="AJ180" s="5">
        <f t="shared" ref="AJ180" si="804">+AI180/AI$4</f>
        <v>1</v>
      </c>
      <c r="AK180" s="4">
        <f t="shared" ref="AK180" si="805">+AF180/E180</f>
        <v>0.37143963612389785</v>
      </c>
      <c r="AL180" s="9">
        <f>'[156]Parts 4 - 6 '!$C$45</f>
        <v>126145.17</v>
      </c>
      <c r="AM180" s="4">
        <f t="shared" ref="AM180" si="806">1-(+AF180-AL180)/E180</f>
        <v>0.63348888743873122</v>
      </c>
      <c r="AO180" s="8">
        <f t="shared" ref="AO180" si="807">+W180/$E180</f>
        <v>0.88909492247597599</v>
      </c>
      <c r="AP180" s="8">
        <f t="shared" ref="AP180" si="808">+X180/$E180</f>
        <v>4.0914141529428252E-2</v>
      </c>
      <c r="AQ180" s="8">
        <f t="shared" ref="AQ180" si="809">+Y180/$E180</f>
        <v>3.2082232174913058E-2</v>
      </c>
      <c r="AR180" s="8">
        <f t="shared" ref="AR180" si="810">+Z180/$E180</f>
        <v>9.3205203614471054E-3</v>
      </c>
      <c r="AS180" s="8">
        <f t="shared" ref="AS180" si="811">+AA180/$E180</f>
        <v>9.7302817395908524E-3</v>
      </c>
      <c r="AT180" s="8">
        <f t="shared" ref="AT180" si="812">+AB180/$E180</f>
        <v>3.4708101215746097E-3</v>
      </c>
    </row>
    <row r="181" spans="1:46" x14ac:dyDescent="0.25">
      <c r="A181">
        <f t="shared" si="179"/>
        <v>177</v>
      </c>
      <c r="B181" s="3">
        <f t="shared" si="201"/>
        <v>44571</v>
      </c>
      <c r="C181" s="4">
        <f>'[158]Part 1'!$F$26</f>
        <v>5.7500000000000002E-2</v>
      </c>
      <c r="D181" s="41">
        <f>'[158]Part 1'!$C$20</f>
        <v>1671</v>
      </c>
      <c r="E181" s="2">
        <f>'[158]Part 1'!$C$24</f>
        <v>25288043.030000001</v>
      </c>
      <c r="G181" s="5">
        <f t="shared" ref="G181" si="813">+E181/$E$4</f>
        <v>0.28097825588888892</v>
      </c>
      <c r="H181" s="2">
        <f t="shared" si="737"/>
        <v>197585.4927256532</v>
      </c>
      <c r="I181" s="2">
        <f>'[158]Parts 2 - 3'!$C$51</f>
        <v>172597.1</v>
      </c>
      <c r="P181" s="42">
        <f>'[158]Parts 2 - 3'!$C$49</f>
        <v>13</v>
      </c>
      <c r="Q181" s="6">
        <f t="shared" ref="Q181" si="814">IF(I181&gt;0,I181,+H181)/E180</f>
        <v>6.7434121670409937E-3</v>
      </c>
      <c r="R181" s="6">
        <f t="shared" ref="R181" si="815">1-(+Q181-1)^12</f>
        <v>7.7986137672992673E-2</v>
      </c>
      <c r="S181" s="6">
        <f t="shared" ref="S181" si="816">AVERAGE(R179:R181)</f>
        <v>5.1283727459764727E-2</v>
      </c>
      <c r="T181" s="6">
        <f t="shared" ref="T181" si="817">AVERAGE(R170:R181)</f>
        <v>3.7629360210909978E-2</v>
      </c>
      <c r="U181" s="6">
        <f t="shared" ref="U181" si="818">AVERAGE(R164:R181)</f>
        <v>3.2338993585280938E-2</v>
      </c>
      <c r="V181" s="2">
        <f>'[158]Parts 4 - 6 '!$C$58</f>
        <v>0</v>
      </c>
      <c r="W181" s="2">
        <f>'[158]Parts 7-10'!$C$4</f>
        <v>22406108.109999999</v>
      </c>
      <c r="X181" s="2">
        <f>'[158]Parts 7-10'!$E$4</f>
        <v>1032513.54</v>
      </c>
      <c r="Y181" s="2">
        <f>'[158]Parts 7-10'!$F$4</f>
        <v>770208.14</v>
      </c>
      <c r="Z181" s="2">
        <f>'[158]Parts 7-10'!$G$4</f>
        <v>407034.55</v>
      </c>
      <c r="AA181" s="2">
        <f>'[158]Parts 7-10'!$H$4</f>
        <v>167912.64</v>
      </c>
      <c r="AB181" s="2">
        <f>'[158]Parts 7-10'!$J$4</f>
        <v>108966.63</v>
      </c>
      <c r="AC181" s="2">
        <f>'[158]Parts 2 - 3'!$C$19</f>
        <v>29726.550000000003</v>
      </c>
      <c r="AD181" s="2">
        <f t="shared" ref="AD181" si="819">+AD180+AC181</f>
        <v>2225480.2899999996</v>
      </c>
      <c r="AE181" s="4">
        <f t="shared" ref="AE181" si="820">+AD181/$E$4</f>
        <v>2.4727558777777773E-2</v>
      </c>
      <c r="AF181" s="2">
        <f>'[158]Part 11'!$V$8</f>
        <v>9168257.0000000019</v>
      </c>
      <c r="AG181" s="5">
        <f t="shared" ref="AG181" si="821">+AF181/$AF$4</f>
        <v>0.12055564760026301</v>
      </c>
      <c r="AH181" s="2">
        <f t="shared" ref="AH181" si="822">+$AH$2*AF181</f>
        <v>8806590.0571992137</v>
      </c>
      <c r="AI181" s="2">
        <f t="shared" si="569"/>
        <v>13950000</v>
      </c>
      <c r="AJ181" s="5">
        <f t="shared" ref="AJ181" si="823">+AI181/AI$4</f>
        <v>1</v>
      </c>
      <c r="AK181" s="4">
        <f t="shared" ref="AK181" si="824">+AF181/E181</f>
        <v>0.36255304489649159</v>
      </c>
      <c r="AL181" s="9">
        <f>'[158]Parts 4 - 6 '!$C$45</f>
        <v>123350.94</v>
      </c>
      <c r="AM181" s="4">
        <f t="shared" ref="AM181" si="825">1-(+AF181-AL181)/E181</f>
        <v>0.64232479163097966</v>
      </c>
      <c r="AO181" s="8">
        <f t="shared" ref="AO181" si="826">+W181/$E181</f>
        <v>0.88603566845480797</v>
      </c>
      <c r="AP181" s="8">
        <f t="shared" ref="AP181" si="827">+X181/$E181</f>
        <v>4.0830108473601405E-2</v>
      </c>
      <c r="AQ181" s="8">
        <f t="shared" ref="AQ181" si="828">+Y181/$E181</f>
        <v>3.0457403883973066E-2</v>
      </c>
      <c r="AR181" s="8">
        <f t="shared" ref="AR181" si="829">+Z181/$E181</f>
        <v>1.6095929191401726E-2</v>
      </c>
      <c r="AS181" s="8">
        <f t="shared" ref="AS181" si="830">+AA181/$E181</f>
        <v>6.6400013556130047E-3</v>
      </c>
      <c r="AT181" s="8">
        <f t="shared" ref="AT181" si="831">+AB181/$E181</f>
        <v>4.3090178971433041E-3</v>
      </c>
    </row>
    <row r="182" spans="1:46" x14ac:dyDescent="0.25">
      <c r="A182">
        <f t="shared" si="179"/>
        <v>178</v>
      </c>
      <c r="B182" s="3">
        <f t="shared" si="201"/>
        <v>44601</v>
      </c>
      <c r="C182" s="4">
        <f>'[159]Part 1'!$F$26</f>
        <v>5.7500000000000002E-2</v>
      </c>
      <c r="D182" s="41">
        <f>'[159]Part 1'!$C$20</f>
        <v>1670</v>
      </c>
      <c r="E182" s="2">
        <f>'[159]Part 1'!$C$24</f>
        <v>25179193.039999999</v>
      </c>
      <c r="G182" s="5">
        <f t="shared" ref="G182" si="832">+E182/$E$4</f>
        <v>0.27976881155555555</v>
      </c>
      <c r="H182" s="2">
        <f t="shared" si="737"/>
        <v>15133.478773189707</v>
      </c>
      <c r="I182" s="2">
        <f>'[159]Parts 2 - 3'!$C$51</f>
        <v>18927.36</v>
      </c>
      <c r="P182" s="42">
        <f>'[159]Parts 2 - 3'!$C$49</f>
        <v>1</v>
      </c>
      <c r="Q182" s="6">
        <f t="shared" ref="Q182" si="833">IF(I182&gt;0,I182,+H182)/E181</f>
        <v>7.4847072893485182E-4</v>
      </c>
      <c r="R182" s="6">
        <f t="shared" ref="R182" si="834">1-(+Q182-1)^12</f>
        <v>8.9447670814538638E-3</v>
      </c>
      <c r="S182" s="6">
        <f t="shared" ref="S182" si="835">AVERAGE(R180:R182)</f>
        <v>4.1711919860015136E-2</v>
      </c>
      <c r="T182" s="6">
        <f t="shared" ref="T182" si="836">AVERAGE(R171:R182)</f>
        <v>3.6102926356889477E-2</v>
      </c>
      <c r="U182" s="6">
        <f t="shared" ref="U182" si="837">AVERAGE(R165:R182)</f>
        <v>3.2716838303327896E-2</v>
      </c>
      <c r="V182" s="2">
        <f>'[159]Parts 4 - 6 '!$C$58</f>
        <v>0</v>
      </c>
      <c r="W182" s="2">
        <f>'[159]Parts 7-10'!$C$4</f>
        <v>22275882.529999997</v>
      </c>
      <c r="X182" s="2">
        <f>'[159]Parts 7-10'!$E$4</f>
        <v>1059657.95</v>
      </c>
      <c r="Y182" s="2">
        <f>'[159]Parts 7-10'!$F$4</f>
        <v>713282.88</v>
      </c>
      <c r="Z182" s="2">
        <f>'[159]Parts 7-10'!$G$4</f>
        <v>293283.78000000003</v>
      </c>
      <c r="AA182" s="2">
        <f>'[159]Parts 7-10'!$H$4</f>
        <v>332978.21999999997</v>
      </c>
      <c r="AB182" s="2">
        <f>'[159]Parts 7-10'!$J$4</f>
        <v>131100.72</v>
      </c>
      <c r="AC182" s="2">
        <f>'[159]Parts 2 - 3'!$C$19</f>
        <v>28157.84</v>
      </c>
      <c r="AD182" s="2">
        <f t="shared" ref="AD182" si="838">+AD181+AC182</f>
        <v>2253638.1299999994</v>
      </c>
      <c r="AE182" s="4">
        <f t="shared" ref="AE182" si="839">+AD182/$E$4</f>
        <v>2.5040423666666659E-2</v>
      </c>
      <c r="AF182" s="2">
        <f>'[159]Part 11'!$V$8</f>
        <v>9049515.0700000022</v>
      </c>
      <c r="AG182" s="5">
        <f t="shared" ref="AG182" si="840">+AF182/$AF$4</f>
        <v>0.11899428099934256</v>
      </c>
      <c r="AH182" s="2">
        <f t="shared" ref="AH182" si="841">+$AH$2*AF182</f>
        <v>8692532.2270019744</v>
      </c>
      <c r="AI182" s="2">
        <f t="shared" si="569"/>
        <v>13950000</v>
      </c>
      <c r="AJ182" s="5">
        <f t="shared" ref="AJ182" si="842">+AI182/AI$4</f>
        <v>1</v>
      </c>
      <c r="AK182" s="4">
        <f t="shared" ref="AK182" si="843">+AF182/E182</f>
        <v>0.35940449146340087</v>
      </c>
      <c r="AL182" s="9">
        <f>'[159]Parts 4 - 6 '!$C$45</f>
        <v>107444.34</v>
      </c>
      <c r="AM182" s="4">
        <f t="shared" ref="AM182" si="844">1-(+AF182-AL182)/E182</f>
        <v>0.64486269612395797</v>
      </c>
      <c r="AO182" s="8">
        <f t="shared" ref="AO182" si="845">+W182/$E182</f>
        <v>0.88469406047335342</v>
      </c>
      <c r="AP182" s="8">
        <f t="shared" ref="AP182" si="846">+X182/$E182</f>
        <v>4.2084666824572708E-2</v>
      </c>
      <c r="AQ182" s="8">
        <f t="shared" ref="AQ182" si="847">+Y182/$E182</f>
        <v>2.8328266075361087E-2</v>
      </c>
      <c r="AR182" s="8">
        <f t="shared" ref="AR182" si="848">+Z182/$E182</f>
        <v>1.1647862563906855E-2</v>
      </c>
      <c r="AS182" s="8">
        <f t="shared" ref="AS182" si="849">+AA182/$E182</f>
        <v>1.3224340409600355E-2</v>
      </c>
      <c r="AT182" s="8">
        <f t="shared" ref="AT182" si="850">+AB182/$E182</f>
        <v>5.2067085625711537E-3</v>
      </c>
    </row>
    <row r="183" spans="1:46" x14ac:dyDescent="0.25">
      <c r="A183">
        <f t="shared" si="179"/>
        <v>179</v>
      </c>
      <c r="B183" s="3">
        <f t="shared" si="201"/>
        <v>44631</v>
      </c>
      <c r="C183" s="4">
        <f>'[160]Part 1'!$F$26</f>
        <v>5.7500000000000002E-2</v>
      </c>
      <c r="D183" s="41">
        <f>'[160]Part 1'!$C$20</f>
        <v>1663</v>
      </c>
      <c r="E183" s="2">
        <f>'[160]Part 1'!$C$24</f>
        <v>24980774.460000001</v>
      </c>
      <c r="G183" s="5">
        <f t="shared" ref="G183" si="851">+E183/$E$4</f>
        <v>0.27756416066666667</v>
      </c>
      <c r="H183" s="2">
        <f t="shared" ref="H183" si="852">+E182/D182*P183</f>
        <v>105541.52771257484</v>
      </c>
      <c r="I183" s="2">
        <f>'[160]Parts 2 - 3'!$C$51</f>
        <v>74651.960000000006</v>
      </c>
      <c r="P183" s="42">
        <f>'[160]Parts 2 - 3'!$C$49</f>
        <v>7</v>
      </c>
      <c r="Q183" s="6">
        <f t="shared" ref="Q183" si="853">IF(I183&gt;0,I183,+H183)/E182</f>
        <v>2.9648273430132139E-3</v>
      </c>
      <c r="R183" s="6">
        <f t="shared" ref="R183" si="854">1-(+Q183-1)^12</f>
        <v>3.5003470286345539E-2</v>
      </c>
      <c r="S183" s="6">
        <f t="shared" ref="S183" si="855">AVERAGE(R181:R183)</f>
        <v>4.0644791680264025E-2</v>
      </c>
      <c r="T183" s="6">
        <f t="shared" ref="T183" si="856">AVERAGE(R172:R183)</f>
        <v>3.6504245175277374E-2</v>
      </c>
      <c r="U183" s="6">
        <f t="shared" ref="U183" si="857">AVERAGE(R166:R183)</f>
        <v>3.3896681344391964E-2</v>
      </c>
      <c r="V183" s="2">
        <f>'[160]Parts 4 - 6 '!$C$58</f>
        <v>0</v>
      </c>
      <c r="W183" s="2">
        <f>'[160]Parts 7-10'!$C$4</f>
        <v>21979550.609999999</v>
      </c>
      <c r="X183" s="2">
        <f>'[160]Parts 7-10'!$E$4</f>
        <v>1011787.22</v>
      </c>
      <c r="Y183" s="2">
        <f>'[160]Parts 7-10'!$F$4</f>
        <v>850624.19</v>
      </c>
      <c r="Z183" s="2">
        <f>'[160]Parts 7-10'!$G$4</f>
        <v>326450.12</v>
      </c>
      <c r="AA183" s="2">
        <f>'[160]Parts 7-10'!$H$4</f>
        <v>117277.83</v>
      </c>
      <c r="AB183" s="2">
        <f>'[160]Parts 7-10'!$J$4</f>
        <v>315851.51</v>
      </c>
      <c r="AC183" s="2">
        <f>'[160]Parts 2 - 3'!$C$19</f>
        <v>0</v>
      </c>
      <c r="AD183" s="2">
        <f t="shared" ref="AD183" si="858">+AD182+AC183</f>
        <v>2253638.1299999994</v>
      </c>
      <c r="AE183" s="4">
        <f t="shared" ref="AE183" si="859">+AD183/$E$4</f>
        <v>2.5040423666666659E-2</v>
      </c>
      <c r="AF183" s="2">
        <f>'[160]Part 11'!$V$8</f>
        <v>8830534.4700000025</v>
      </c>
      <c r="AG183" s="5">
        <f t="shared" ref="AG183" si="860">+AF183/$AF$4</f>
        <v>0.11611485167652863</v>
      </c>
      <c r="AH183" s="2">
        <f t="shared" ref="AH183" si="861">+$AH$2*AF183</f>
        <v>8482189.9149704166</v>
      </c>
      <c r="AI183" s="2">
        <f t="shared" si="569"/>
        <v>13950000</v>
      </c>
      <c r="AJ183" s="5">
        <f t="shared" ref="AJ183" si="862">+AI183/AI$4</f>
        <v>1</v>
      </c>
      <c r="AK183" s="4">
        <f t="shared" ref="AK183" si="863">+AF183/E183</f>
        <v>0.35349322272372824</v>
      </c>
      <c r="AL183" s="9">
        <f>'[160]Parts 4 - 6 '!$C$45</f>
        <v>106052.79000000001</v>
      </c>
      <c r="AM183" s="4">
        <f t="shared" ref="AM183" si="864">1-(+AF183-AL183)/E183</f>
        <v>0.65075215366241279</v>
      </c>
      <c r="AO183" s="8">
        <f t="shared" ref="AO183" si="865">+W183/$E183</f>
        <v>0.87985865471041924</v>
      </c>
      <c r="AP183" s="8">
        <f t="shared" ref="AP183" si="866">+X183/$E183</f>
        <v>4.0502636202096348E-2</v>
      </c>
      <c r="AQ183" s="8">
        <f t="shared" ref="AQ183" si="867">+Y183/$E183</f>
        <v>3.4051153672679205E-2</v>
      </c>
      <c r="AR183" s="8">
        <f t="shared" ref="AR183" si="868">+Z183/$E183</f>
        <v>1.3068054416115967E-2</v>
      </c>
      <c r="AS183" s="8">
        <f t="shared" ref="AS183" si="869">+AA183/$E183</f>
        <v>4.6947235438112196E-3</v>
      </c>
      <c r="AT183" s="8">
        <f t="shared" ref="AT183" si="870">+AB183/$E183</f>
        <v>1.2643783742803946E-2</v>
      </c>
    </row>
    <row r="184" spans="1:46" x14ac:dyDescent="0.25">
      <c r="A184">
        <f t="shared" si="179"/>
        <v>180</v>
      </c>
      <c r="B184" s="3">
        <f t="shared" si="201"/>
        <v>44661</v>
      </c>
      <c r="C184" s="4">
        <f>'[161]Part 1'!$F$26</f>
        <v>5.7500000000000002E-2</v>
      </c>
      <c r="D184" s="41">
        <f>'[161]Part 1'!$C$20</f>
        <v>1656</v>
      </c>
      <c r="E184" s="2">
        <f>'[161]Part 1'!$C$24</f>
        <v>24770242.829999998</v>
      </c>
      <c r="G184" s="5">
        <f t="shared" ref="G184" si="871">+E184/$E$4</f>
        <v>0.27522492033333329</v>
      </c>
      <c r="H184" s="2">
        <f t="shared" ref="H184" si="872">+E183/D183*P184</f>
        <v>105150.58401683705</v>
      </c>
      <c r="I184" s="2">
        <f>'[161]Parts 2 - 3'!$C$51</f>
        <v>92361.99</v>
      </c>
      <c r="P184" s="42">
        <f>'[161]Parts 2 - 3'!$C$49</f>
        <v>7</v>
      </c>
      <c r="Q184" s="6">
        <f t="shared" ref="Q184" si="873">IF(I184&gt;0,I184,+H184)/E183</f>
        <v>3.6973229211885693E-3</v>
      </c>
      <c r="R184" s="6">
        <f t="shared" ref="R184" si="874">1-(+Q184-1)^12</f>
        <v>4.3476669597665829E-2</v>
      </c>
      <c r="S184" s="6">
        <f t="shared" ref="S184" si="875">AVERAGE(R182:R184)</f>
        <v>2.9141635655155079E-2</v>
      </c>
      <c r="T184" s="6">
        <f t="shared" ref="T184" si="876">AVERAGE(R173:R184)</f>
        <v>3.7598889591844091E-2</v>
      </c>
      <c r="U184" s="6">
        <f t="shared" ref="U184" si="877">AVERAGE(R167:R184)</f>
        <v>3.4370702198289353E-2</v>
      </c>
      <c r="V184" s="2">
        <f>'[161]Parts 4 - 6 '!$C$58</f>
        <v>0</v>
      </c>
      <c r="W184" s="2">
        <f>'[161]Parts 7-10'!$C$4</f>
        <v>21924983</v>
      </c>
      <c r="X184" s="2">
        <f>'[161]Parts 7-10'!$E$4</f>
        <v>1040565</v>
      </c>
      <c r="Y184" s="2">
        <f>'[161]Parts 7-10'!$F$4</f>
        <v>719545</v>
      </c>
      <c r="Z184" s="2">
        <f>'[161]Parts 7-10'!$G$4</f>
        <v>211433</v>
      </c>
      <c r="AA184" s="2">
        <f>'[161]Parts 7-10'!$H$4</f>
        <v>187877</v>
      </c>
      <c r="AB184" s="2">
        <f>'[161]Parts 7-10'!$J$4</f>
        <v>197245</v>
      </c>
      <c r="AC184" s="2">
        <f>'[161]Parts 2 - 3'!$C$19</f>
        <v>85005.9</v>
      </c>
      <c r="AD184" s="2">
        <f t="shared" ref="AD184" si="878">+AD183+AC184</f>
        <v>2338644.0299999993</v>
      </c>
      <c r="AE184" s="4">
        <f t="shared" ref="AE184" si="879">+AD184/$E$4</f>
        <v>2.5984933666666658E-2</v>
      </c>
      <c r="AF184" s="2">
        <f>'[161]Part 11'!$V$8</f>
        <v>0</v>
      </c>
      <c r="AG184" s="5">
        <f t="shared" ref="AG184" si="880">+AF184/$AF$4</f>
        <v>0</v>
      </c>
      <c r="AH184" s="2">
        <f t="shared" ref="AH184" si="881">+$AH$2*AF184</f>
        <v>0</v>
      </c>
      <c r="AI184" s="2">
        <f>'[161]Part 11'!$V$9</f>
        <v>0</v>
      </c>
      <c r="AJ184" s="5">
        <f t="shared" ref="AJ184" si="882">+AI184/AI$4</f>
        <v>0</v>
      </c>
      <c r="AK184" s="4">
        <f>+AF184/E184</f>
        <v>0</v>
      </c>
      <c r="AL184" s="9">
        <f>'[161]Parts 4 - 6 '!$C$45</f>
        <v>121966.23000000001</v>
      </c>
      <c r="AM184" s="4">
        <f t="shared" ref="AM184" si="883">1-(+AF184-AL184)/E184</f>
        <v>1.0049239012647984</v>
      </c>
      <c r="AO184" s="8">
        <f t="shared" ref="AO184" si="884">+W184/$E184</f>
        <v>0.88513395490196745</v>
      </c>
      <c r="AP184" s="8">
        <f t="shared" ref="AP184" si="885">+X184/$E184</f>
        <v>4.200867174139044E-2</v>
      </c>
      <c r="AQ184" s="8">
        <f t="shared" ref="AQ184" si="886">+Y184/$E184</f>
        <v>2.9048766495277836E-2</v>
      </c>
      <c r="AR184" s="8">
        <f t="shared" ref="AR184" si="887">+Z184/$E184</f>
        <v>8.5357661388739819E-3</v>
      </c>
      <c r="AS184" s="8">
        <f t="shared" ref="AS184" si="888">+AA184/$E184</f>
        <v>7.5847863619833561E-3</v>
      </c>
      <c r="AT184" s="8">
        <f t="shared" ref="AT184" si="889">+AB184/$E184</f>
        <v>7.9629820891828542E-3</v>
      </c>
    </row>
    <row r="185" spans="1:46" x14ac:dyDescent="0.25">
      <c r="B185" s="3"/>
      <c r="C185" s="4"/>
      <c r="D185" s="41"/>
      <c r="E185" s="2"/>
      <c r="G185" s="5"/>
      <c r="H185" s="2"/>
      <c r="I185" s="2"/>
      <c r="P185" s="42"/>
      <c r="Q185" s="6"/>
      <c r="R185" s="6"/>
      <c r="S185" s="6"/>
      <c r="T185" s="6"/>
      <c r="U185" s="6"/>
      <c r="V185" s="2"/>
      <c r="W185" s="2"/>
      <c r="X185" s="2"/>
      <c r="Y185" s="2"/>
      <c r="Z185" s="2"/>
      <c r="AA185" s="2"/>
      <c r="AB185" s="2"/>
      <c r="AC185" s="2"/>
      <c r="AD185" s="2"/>
      <c r="AE185" s="4"/>
      <c r="AF185" s="2"/>
      <c r="AG185" s="5"/>
      <c r="AH185" s="2"/>
      <c r="AI185" s="2"/>
      <c r="AJ185" s="5"/>
      <c r="AK185" s="4"/>
      <c r="AL185" s="9"/>
      <c r="AM185" s="4"/>
      <c r="AO185" s="8"/>
      <c r="AP185" s="8"/>
      <c r="AQ185" s="8"/>
      <c r="AR185" s="8"/>
      <c r="AS185" s="8"/>
      <c r="AT185" s="8"/>
    </row>
  </sheetData>
  <pageMargins left="0.2" right="0.2" top="0.25" bottom="0.5" header="0.3" footer="0.3"/>
  <pageSetup scale="43" fitToWidth="3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179"/>
  <sheetViews>
    <sheetView showGridLines="0" zoomScale="98" zoomScaleNormal="98" workbookViewId="0">
      <pane xSplit="2" ySplit="3" topLeftCell="T169" activePane="bottomRight" state="frozen"/>
      <selection pane="topRight" activeCell="C1" sqref="C1"/>
      <selection pane="bottomLeft" activeCell="A4" sqref="A4"/>
      <selection pane="bottomRight" activeCell="AF184" sqref="AF184"/>
    </sheetView>
  </sheetViews>
  <sheetFormatPr baseColWidth="10" defaultColWidth="9.140625" defaultRowHeight="15" x14ac:dyDescent="0.25"/>
  <cols>
    <col min="1" max="3" width="9.140625" style="10"/>
    <col min="4" max="4" width="18" style="10" bestFit="1" customWidth="1"/>
    <col min="5" max="5" width="7.140625" style="10" bestFit="1" customWidth="1"/>
    <col min="6" max="6" width="12.28515625" style="10" customWidth="1"/>
    <col min="7" max="7" width="13.5703125" style="10" hidden="1" customWidth="1"/>
    <col min="8" max="8" width="9.5703125" style="10" hidden="1" customWidth="1"/>
    <col min="9" max="9" width="11.85546875" style="10" hidden="1" customWidth="1"/>
    <col min="10" max="10" width="11.42578125" style="10" hidden="1" customWidth="1"/>
    <col min="11" max="11" width="8.28515625" style="10" hidden="1" customWidth="1"/>
    <col min="12" max="12" width="14.140625" style="10" hidden="1" customWidth="1"/>
    <col min="13" max="13" width="8.140625" style="10" bestFit="1" customWidth="1"/>
    <col min="14" max="14" width="9" style="10" customWidth="1"/>
    <col min="15" max="16" width="10.85546875" style="10" bestFit="1" customWidth="1"/>
    <col min="17" max="17" width="12.42578125" style="10" customWidth="1"/>
    <col min="18" max="18" width="13.28515625" style="10" bestFit="1" customWidth="1"/>
    <col min="19" max="19" width="14.28515625" style="10" bestFit="1" customWidth="1"/>
    <col min="20" max="20" width="13.28515625" style="10" bestFit="1" customWidth="1"/>
    <col min="21" max="21" width="11.5703125" style="10" bestFit="1" customWidth="1"/>
    <col min="22" max="24" width="10.5703125" style="10" bestFit="1" customWidth="1"/>
    <col min="25" max="26" width="13.140625" style="10" bestFit="1" customWidth="1"/>
    <col min="27" max="27" width="6.140625" style="10" bestFit="1" customWidth="1"/>
    <col min="28" max="28" width="14.42578125" style="10" bestFit="1" customWidth="1"/>
    <col min="29" max="29" width="9.140625" style="10"/>
    <col min="30" max="30" width="11.5703125" style="10" bestFit="1" customWidth="1"/>
    <col min="31" max="31" width="14.28515625" style="10" bestFit="1" customWidth="1"/>
    <col min="32" max="33" width="9.140625" style="10"/>
    <col min="34" max="34" width="14.28515625" style="10" bestFit="1" customWidth="1"/>
    <col min="35" max="35" width="8" style="10" bestFit="1" customWidth="1"/>
    <col min="36" max="36" width="4.85546875" style="10" customWidth="1"/>
    <col min="37" max="16384" width="9.140625" style="10"/>
  </cols>
  <sheetData>
    <row r="1" spans="1:43" x14ac:dyDescent="0.25">
      <c r="F1" s="35" t="s">
        <v>50</v>
      </c>
      <c r="G1" s="35" t="s">
        <v>52</v>
      </c>
      <c r="H1" s="35" t="s">
        <v>52</v>
      </c>
      <c r="I1" s="35" t="s">
        <v>46</v>
      </c>
      <c r="J1" s="35" t="s">
        <v>46</v>
      </c>
      <c r="K1"/>
      <c r="L1" s="35" t="s">
        <v>20</v>
      </c>
    </row>
    <row r="2" spans="1:43" x14ac:dyDescent="0.25">
      <c r="B2" s="24" t="s">
        <v>32</v>
      </c>
      <c r="D2" s="34" t="s">
        <v>45</v>
      </c>
      <c r="F2" s="24" t="s">
        <v>51</v>
      </c>
      <c r="G2" s="24" t="s">
        <v>53</v>
      </c>
      <c r="H2" s="24" t="s">
        <v>55</v>
      </c>
      <c r="I2" s="24" t="s">
        <v>57</v>
      </c>
      <c r="J2" s="24" t="s">
        <v>35</v>
      </c>
      <c r="K2" s="24" t="s">
        <v>38</v>
      </c>
      <c r="L2" s="35" t="s">
        <v>59</v>
      </c>
      <c r="O2" s="24" t="s">
        <v>43</v>
      </c>
      <c r="P2" s="24" t="s">
        <v>47</v>
      </c>
      <c r="Q2" s="24" t="s">
        <v>48</v>
      </c>
      <c r="R2" s="24" t="s">
        <v>25</v>
      </c>
      <c r="AD2" s="33">
        <f>72000000/86400000</f>
        <v>0.83333333333333337</v>
      </c>
    </row>
    <row r="3" spans="1:43" s="31" customFormat="1" ht="12.75" x14ac:dyDescent="0.2">
      <c r="A3" s="30" t="s">
        <v>17</v>
      </c>
      <c r="B3" s="28" t="s">
        <v>33</v>
      </c>
      <c r="C3" s="30" t="s">
        <v>0</v>
      </c>
      <c r="D3" s="30" t="s">
        <v>18</v>
      </c>
      <c r="E3" s="30" t="s">
        <v>6</v>
      </c>
      <c r="F3" s="28" t="s">
        <v>36</v>
      </c>
      <c r="G3" s="28" t="s">
        <v>54</v>
      </c>
      <c r="H3" s="28" t="s">
        <v>56</v>
      </c>
      <c r="I3" s="28" t="s">
        <v>58</v>
      </c>
      <c r="J3" s="28" t="s">
        <v>37</v>
      </c>
      <c r="K3" s="28" t="s">
        <v>39</v>
      </c>
      <c r="L3" s="30" t="s">
        <v>35</v>
      </c>
      <c r="M3" s="30" t="s">
        <v>60</v>
      </c>
      <c r="N3" s="30" t="s">
        <v>61</v>
      </c>
      <c r="O3" s="28" t="s">
        <v>44</v>
      </c>
      <c r="P3" s="28" t="s">
        <v>44</v>
      </c>
      <c r="Q3" s="28" t="s">
        <v>44</v>
      </c>
      <c r="R3" s="24" t="s">
        <v>21</v>
      </c>
      <c r="S3" s="30" t="s">
        <v>9</v>
      </c>
      <c r="T3" s="30" t="s">
        <v>10</v>
      </c>
      <c r="U3" s="30" t="s">
        <v>11</v>
      </c>
      <c r="V3" s="30" t="s">
        <v>12</v>
      </c>
      <c r="W3" s="30" t="s">
        <v>13</v>
      </c>
      <c r="X3" s="30" t="s">
        <v>14</v>
      </c>
      <c r="Y3" s="30" t="s">
        <v>19</v>
      </c>
      <c r="Z3" s="30" t="s">
        <v>19</v>
      </c>
      <c r="AA3" s="30" t="s">
        <v>16</v>
      </c>
      <c r="AB3" s="30" t="s">
        <v>1</v>
      </c>
      <c r="AC3" s="30" t="s">
        <v>3</v>
      </c>
      <c r="AD3" s="30" t="s">
        <v>30</v>
      </c>
      <c r="AE3" s="30" t="s">
        <v>2</v>
      </c>
      <c r="AF3" s="30" t="s">
        <v>4</v>
      </c>
      <c r="AG3" s="30" t="s">
        <v>5</v>
      </c>
      <c r="AH3" s="30" t="s">
        <v>65</v>
      </c>
      <c r="AI3" s="30" t="s">
        <v>22</v>
      </c>
      <c r="AK3" s="30" t="s">
        <v>9</v>
      </c>
      <c r="AL3" s="30" t="s">
        <v>10</v>
      </c>
      <c r="AM3" s="30" t="s">
        <v>11</v>
      </c>
      <c r="AN3" s="30" t="s">
        <v>12</v>
      </c>
      <c r="AO3" s="30" t="s">
        <v>13</v>
      </c>
      <c r="AP3" s="30" t="s">
        <v>14</v>
      </c>
      <c r="AQ3" s="30" t="s">
        <v>19</v>
      </c>
    </row>
    <row r="4" spans="1:43" x14ac:dyDescent="0.25">
      <c r="A4" s="10">
        <v>0</v>
      </c>
      <c r="C4" s="10">
        <v>3611</v>
      </c>
      <c r="D4" s="11">
        <v>96000029.230000004</v>
      </c>
      <c r="E4" s="12">
        <f>+D4/D$4</f>
        <v>1</v>
      </c>
      <c r="R4" s="11"/>
      <c r="AB4" s="11">
        <v>86400000</v>
      </c>
      <c r="AC4" s="12">
        <f>+AB4/$AB$4</f>
        <v>1</v>
      </c>
      <c r="AD4" s="13">
        <f t="shared" ref="AD4:AD35" si="0">+AB4*$AD$2</f>
        <v>72000000</v>
      </c>
      <c r="AE4" s="11">
        <v>9600000</v>
      </c>
      <c r="AF4" s="12">
        <f>+AE4/$AE$4</f>
        <v>1</v>
      </c>
      <c r="AG4" s="12">
        <f t="shared" ref="AG4:AG35" si="1">+AB4/D4</f>
        <v>0.89999972596883338</v>
      </c>
      <c r="AH4" s="11">
        <v>900000</v>
      </c>
      <c r="AI4" s="14">
        <f t="shared" ref="AI4:AI35" si="2">((+D4+AH4)-AB4)/D4</f>
        <v>0.10937527117667528</v>
      </c>
      <c r="AK4" s="14">
        <f t="shared" ref="AK4:AK35" si="3">+S4/$D4</f>
        <v>0</v>
      </c>
      <c r="AL4" s="14">
        <f t="shared" ref="AL4:AL35" si="4">+T4/$D4</f>
        <v>0</v>
      </c>
      <c r="AM4" s="14">
        <f t="shared" ref="AM4:AM35" si="5">+U4/$D4</f>
        <v>0</v>
      </c>
      <c r="AN4" s="14">
        <f t="shared" ref="AN4:AN35" si="6">+V4/$D4</f>
        <v>0</v>
      </c>
      <c r="AO4" s="14">
        <f t="shared" ref="AO4:AO35" si="7">+W4/$D4</f>
        <v>0</v>
      </c>
      <c r="AP4" s="14">
        <f t="shared" ref="AP4:AP35" si="8">+X4/$D4</f>
        <v>0</v>
      </c>
      <c r="AQ4" s="14">
        <f t="shared" ref="AQ4:AQ35" si="9">+Y4/$D4</f>
        <v>0</v>
      </c>
    </row>
    <row r="5" spans="1:43" x14ac:dyDescent="0.25">
      <c r="A5" s="10">
        <f>+A4+1</f>
        <v>1</v>
      </c>
      <c r="B5" s="15">
        <v>40513</v>
      </c>
      <c r="C5" s="10">
        <v>3610</v>
      </c>
      <c r="D5" s="11">
        <v>95658336.489999995</v>
      </c>
      <c r="E5" s="12">
        <f>+D5/D$4</f>
        <v>0.99644070170873211</v>
      </c>
      <c r="F5" s="16"/>
      <c r="G5" s="16"/>
      <c r="H5" s="16"/>
      <c r="I5" s="16"/>
      <c r="J5" s="16"/>
      <c r="K5" s="16"/>
      <c r="L5" s="16"/>
      <c r="M5" s="17"/>
      <c r="N5" s="17"/>
      <c r="R5" s="11">
        <v>0</v>
      </c>
      <c r="S5" s="18">
        <v>95039947</v>
      </c>
      <c r="T5" s="18">
        <v>23785</v>
      </c>
      <c r="U5" s="18">
        <v>0</v>
      </c>
      <c r="V5" s="18">
        <v>0</v>
      </c>
      <c r="W5" s="18">
        <v>0</v>
      </c>
      <c r="X5" s="18">
        <v>0</v>
      </c>
      <c r="Y5" s="18">
        <v>0</v>
      </c>
      <c r="Z5" s="18">
        <f>+Z4+Y5</f>
        <v>0</v>
      </c>
      <c r="AA5" s="14">
        <f>+Z5/$D$4</f>
        <v>0</v>
      </c>
      <c r="AB5" s="11">
        <v>86387291.269999996</v>
      </c>
      <c r="AC5" s="14">
        <f t="shared" ref="AC5:AC36" si="10">+AB5/AB$4</f>
        <v>0.99985290821759254</v>
      </c>
      <c r="AD5" s="13">
        <f t="shared" si="0"/>
        <v>71989409.391666666</v>
      </c>
      <c r="AE5" s="11">
        <v>9600000</v>
      </c>
      <c r="AF5" s="12">
        <f t="shared" ref="AF5:AF47" si="11">+AE5/$AE$4</f>
        <v>1</v>
      </c>
      <c r="AG5" s="12">
        <f t="shared" si="1"/>
        <v>0.90308168048720794</v>
      </c>
      <c r="AH5" s="11">
        <v>900000</v>
      </c>
      <c r="AI5" s="14">
        <f t="shared" si="2"/>
        <v>0.10632680426199202</v>
      </c>
      <c r="AK5" s="14">
        <f t="shared" si="3"/>
        <v>0.99353543546029943</v>
      </c>
      <c r="AL5" s="14">
        <f t="shared" si="4"/>
        <v>2.4864534417746699E-4</v>
      </c>
      <c r="AM5" s="14">
        <f t="shared" si="5"/>
        <v>0</v>
      </c>
      <c r="AN5" s="14">
        <f t="shared" si="6"/>
        <v>0</v>
      </c>
      <c r="AO5" s="14">
        <f t="shared" si="7"/>
        <v>0</v>
      </c>
      <c r="AP5" s="14">
        <f t="shared" si="8"/>
        <v>0</v>
      </c>
      <c r="AQ5" s="14">
        <f t="shared" si="9"/>
        <v>0</v>
      </c>
    </row>
    <row r="6" spans="1:43" x14ac:dyDescent="0.25">
      <c r="A6" s="10">
        <f t="shared" ref="A6:A63" si="12">+A5+1</f>
        <v>2</v>
      </c>
      <c r="B6" s="15">
        <v>40544</v>
      </c>
      <c r="C6" s="10">
        <v>3609</v>
      </c>
      <c r="D6" s="11">
        <v>95400475.159999996</v>
      </c>
      <c r="E6" s="12">
        <f t="shared" ref="E6:E32" si="13">+D6/D$4</f>
        <v>0.99375464700574645</v>
      </c>
      <c r="F6" s="16">
        <v>24364.68</v>
      </c>
      <c r="G6" s="16"/>
      <c r="H6" s="16"/>
      <c r="I6" s="16"/>
      <c r="J6" s="16"/>
      <c r="K6" s="16"/>
      <c r="L6" s="16"/>
      <c r="M6" s="17">
        <f>IF(F6&gt;0.01,F6,#REF!)/D5</f>
        <v>2.5470524466570727E-4</v>
      </c>
      <c r="N6" s="17">
        <f t="shared" ref="N6" si="14">1-(+M6-1)^12</f>
        <v>3.0521848349041036E-3</v>
      </c>
      <c r="O6" s="20"/>
      <c r="R6" s="11">
        <v>0</v>
      </c>
      <c r="S6" s="18">
        <v>94410639</v>
      </c>
      <c r="T6" s="18">
        <v>808222</v>
      </c>
      <c r="U6" s="18">
        <v>181614</v>
      </c>
      <c r="V6" s="18">
        <v>0</v>
      </c>
      <c r="W6" s="18">
        <v>0</v>
      </c>
      <c r="X6" s="18">
        <v>0</v>
      </c>
      <c r="Y6" s="18">
        <v>0</v>
      </c>
      <c r="Z6" s="18">
        <f t="shared" ref="Z6:Z25" si="15">+Z5+Y6</f>
        <v>0</v>
      </c>
      <c r="AA6" s="14">
        <f t="shared" ref="AA6:AA43" si="16">+Z6/$D$4</f>
        <v>0</v>
      </c>
      <c r="AB6" s="11">
        <v>86292248.650000006</v>
      </c>
      <c r="AC6" s="14">
        <f t="shared" si="10"/>
        <v>0.99875287789351863</v>
      </c>
      <c r="AD6" s="13">
        <f t="shared" si="0"/>
        <v>71910207.208333343</v>
      </c>
      <c r="AE6" s="11">
        <v>9600000</v>
      </c>
      <c r="AF6" s="12">
        <f t="shared" si="11"/>
        <v>1</v>
      </c>
      <c r="AG6" s="12">
        <f t="shared" si="1"/>
        <v>0.90452640309469934</v>
      </c>
      <c r="AH6" s="11">
        <v>864000</v>
      </c>
      <c r="AI6" s="14">
        <f t="shared" si="2"/>
        <v>0.10453015557076803</v>
      </c>
      <c r="AK6" s="14">
        <f t="shared" si="3"/>
        <v>0.98962441058768413</v>
      </c>
      <c r="AL6" s="14">
        <f t="shared" si="4"/>
        <v>8.4718865251404481E-3</v>
      </c>
      <c r="AM6" s="14">
        <f t="shared" si="5"/>
        <v>1.9037012100349376E-3</v>
      </c>
      <c r="AN6" s="14">
        <f t="shared" si="6"/>
        <v>0</v>
      </c>
      <c r="AO6" s="14">
        <f t="shared" si="7"/>
        <v>0</v>
      </c>
      <c r="AP6" s="14">
        <f t="shared" si="8"/>
        <v>0</v>
      </c>
      <c r="AQ6" s="14">
        <f t="shared" si="9"/>
        <v>0</v>
      </c>
    </row>
    <row r="7" spans="1:43" x14ac:dyDescent="0.25">
      <c r="A7" s="10">
        <f t="shared" si="12"/>
        <v>3</v>
      </c>
      <c r="B7" s="15">
        <v>40575</v>
      </c>
      <c r="C7" s="10">
        <v>3604</v>
      </c>
      <c r="D7" s="11">
        <v>95082917.090000004</v>
      </c>
      <c r="E7" s="12">
        <f t="shared" si="13"/>
        <v>0.99044675145043182</v>
      </c>
      <c r="F7" s="21">
        <v>86493.46</v>
      </c>
      <c r="G7" s="21"/>
      <c r="H7" s="21"/>
      <c r="I7" s="21"/>
      <c r="J7" s="21"/>
      <c r="K7" s="21"/>
      <c r="L7" s="21"/>
      <c r="M7" s="17">
        <f>IF(F7&gt;0.01,F7,#REF!)/D6</f>
        <v>9.0663552623756148E-4</v>
      </c>
      <c r="N7" s="17">
        <f t="shared" ref="N7:N25" si="17">1-(+M7-1)^12</f>
        <v>1.0825538727941675E-2</v>
      </c>
      <c r="O7" s="20">
        <f>AVERAGE(N5:N7)</f>
        <v>6.9388617814228892E-3</v>
      </c>
      <c r="P7" s="20"/>
      <c r="Q7" s="20"/>
      <c r="R7" s="11">
        <v>0</v>
      </c>
      <c r="S7" s="18">
        <v>93919101</v>
      </c>
      <c r="T7" s="18">
        <v>869465</v>
      </c>
      <c r="U7" s="18">
        <v>204317</v>
      </c>
      <c r="V7" s="18">
        <v>90035</v>
      </c>
      <c r="W7" s="18">
        <v>0</v>
      </c>
      <c r="X7" s="18">
        <v>0</v>
      </c>
      <c r="Y7" s="18">
        <v>0</v>
      </c>
      <c r="Z7" s="18">
        <f t="shared" si="15"/>
        <v>0</v>
      </c>
      <c r="AA7" s="14">
        <f t="shared" si="16"/>
        <v>0</v>
      </c>
      <c r="AB7" s="11">
        <v>86111872.75</v>
      </c>
      <c r="AC7" s="14">
        <f t="shared" si="10"/>
        <v>0.99666519386574071</v>
      </c>
      <c r="AD7" s="13">
        <f t="shared" si="0"/>
        <v>71759893.958333343</v>
      </c>
      <c r="AE7" s="11">
        <v>9600000</v>
      </c>
      <c r="AF7" s="12">
        <f t="shared" si="11"/>
        <v>1</v>
      </c>
      <c r="AG7" s="12">
        <f t="shared" si="1"/>
        <v>0.90565030381315992</v>
      </c>
      <c r="AH7" s="11">
        <v>862922.49</v>
      </c>
      <c r="AI7" s="14">
        <f t="shared" si="2"/>
        <v>0.10342516964105899</v>
      </c>
      <c r="AK7" s="14">
        <f t="shared" si="3"/>
        <v>0.98775998753910332</v>
      </c>
      <c r="AL7" s="14">
        <f t="shared" si="4"/>
        <v>9.144281923713117E-3</v>
      </c>
      <c r="AM7" s="14">
        <f t="shared" si="5"/>
        <v>2.1488297399059109E-3</v>
      </c>
      <c r="AN7" s="14">
        <f t="shared" si="6"/>
        <v>9.4691036787163422E-4</v>
      </c>
      <c r="AO7" s="14">
        <f t="shared" si="7"/>
        <v>0</v>
      </c>
      <c r="AP7" s="14">
        <f t="shared" si="8"/>
        <v>0</v>
      </c>
      <c r="AQ7" s="14">
        <f t="shared" si="9"/>
        <v>0</v>
      </c>
    </row>
    <row r="8" spans="1:43" x14ac:dyDescent="0.25">
      <c r="A8" s="10">
        <f t="shared" si="12"/>
        <v>4</v>
      </c>
      <c r="B8" s="15">
        <v>40603</v>
      </c>
      <c r="C8" s="10">
        <v>3592</v>
      </c>
      <c r="D8" s="11">
        <v>94601483.579999998</v>
      </c>
      <c r="E8" s="12">
        <f t="shared" si="13"/>
        <v>0.98543182058154044</v>
      </c>
      <c r="F8" s="21">
        <v>265799.90999999997</v>
      </c>
      <c r="G8" s="21"/>
      <c r="H8" s="21"/>
      <c r="I8" s="21"/>
      <c r="J8" s="21"/>
      <c r="K8" s="21"/>
      <c r="L8" s="21"/>
      <c r="M8" s="17">
        <f>IF(F8&gt;0.01,F8,#REF!)/D7</f>
        <v>2.7954538852484837E-3</v>
      </c>
      <c r="N8" s="17">
        <f t="shared" si="17"/>
        <v>3.3034461364124579E-2</v>
      </c>
      <c r="O8" s="20">
        <f t="shared" ref="O8:O47" si="18">AVERAGE(N6:N8)</f>
        <v>1.5637394975656787E-2</v>
      </c>
      <c r="P8" s="20"/>
      <c r="Q8" s="20"/>
      <c r="R8" s="11">
        <v>0</v>
      </c>
      <c r="S8" s="18">
        <v>93041652</v>
      </c>
      <c r="T8" s="18">
        <v>1268983</v>
      </c>
      <c r="U8" s="18">
        <v>124061</v>
      </c>
      <c r="V8" s="18">
        <v>133761</v>
      </c>
      <c r="W8" s="18">
        <v>33025</v>
      </c>
      <c r="X8" s="18">
        <v>0</v>
      </c>
      <c r="Y8" s="18">
        <v>0</v>
      </c>
      <c r="Z8" s="18">
        <f t="shared" si="15"/>
        <v>0</v>
      </c>
      <c r="AA8" s="14">
        <f t="shared" si="16"/>
        <v>0</v>
      </c>
      <c r="AB8" s="11">
        <v>85780789.969999999</v>
      </c>
      <c r="AC8" s="14">
        <f t="shared" si="10"/>
        <v>0.99283321724537033</v>
      </c>
      <c r="AD8" s="13">
        <f t="shared" si="0"/>
        <v>71483991.641666666</v>
      </c>
      <c r="AE8" s="11">
        <v>9600000</v>
      </c>
      <c r="AF8" s="12">
        <f t="shared" si="11"/>
        <v>1</v>
      </c>
      <c r="AG8" s="12">
        <f t="shared" si="1"/>
        <v>0.90675945792604029</v>
      </c>
      <c r="AH8" s="11">
        <v>861118.73</v>
      </c>
      <c r="AI8" s="14">
        <f t="shared" si="2"/>
        <v>0.10234313431049476</v>
      </c>
      <c r="AK8" s="14">
        <f t="shared" si="3"/>
        <v>0.9835115526631153</v>
      </c>
      <c r="AL8" s="14">
        <f t="shared" si="4"/>
        <v>1.341398625029893E-2</v>
      </c>
      <c r="AM8" s="14">
        <f t="shared" si="5"/>
        <v>1.3114064949635539E-3</v>
      </c>
      <c r="AN8" s="14">
        <f t="shared" si="6"/>
        <v>1.4139418848213374E-3</v>
      </c>
      <c r="AO8" s="14">
        <f t="shared" si="7"/>
        <v>3.490960051601339E-4</v>
      </c>
      <c r="AP8" s="14">
        <f t="shared" si="8"/>
        <v>0</v>
      </c>
      <c r="AQ8" s="14">
        <f t="shared" si="9"/>
        <v>0</v>
      </c>
    </row>
    <row r="9" spans="1:43" x14ac:dyDescent="0.25">
      <c r="A9" s="10">
        <f t="shared" si="12"/>
        <v>5</v>
      </c>
      <c r="B9" s="15">
        <v>40634</v>
      </c>
      <c r="C9" s="10">
        <v>3581</v>
      </c>
      <c r="D9" s="11">
        <v>93987749.379999995</v>
      </c>
      <c r="E9" s="12">
        <f t="shared" si="13"/>
        <v>0.97903875794476147</v>
      </c>
      <c r="F9" s="21">
        <v>317510.11</v>
      </c>
      <c r="G9" s="21"/>
      <c r="H9" s="21"/>
      <c r="I9" s="21"/>
      <c r="J9" s="21"/>
      <c r="K9" s="21"/>
      <c r="L9" s="21"/>
      <c r="M9" s="17">
        <f>IF(F9&gt;0.01,F9,#REF!)/D8</f>
        <v>3.356291021921413E-3</v>
      </c>
      <c r="N9" s="17">
        <f t="shared" si="17"/>
        <v>3.9540277951639391E-2</v>
      </c>
      <c r="O9" s="20">
        <f t="shared" si="18"/>
        <v>2.7800092681235216E-2</v>
      </c>
      <c r="P9" s="20">
        <f t="shared" ref="P9:P25" si="19">AVERAGE(N4:N9)</f>
        <v>2.1613115719652437E-2</v>
      </c>
      <c r="Q9" s="20"/>
      <c r="R9" s="11">
        <v>0</v>
      </c>
      <c r="S9" s="18">
        <v>92222319</v>
      </c>
      <c r="T9" s="18">
        <v>1383829</v>
      </c>
      <c r="U9" s="18">
        <v>291836</v>
      </c>
      <c r="V9" s="18">
        <v>0</v>
      </c>
      <c r="W9" s="18">
        <v>57009</v>
      </c>
      <c r="X9" s="18">
        <v>33025</v>
      </c>
      <c r="Y9" s="18">
        <v>0</v>
      </c>
      <c r="Z9" s="18">
        <f t="shared" si="15"/>
        <v>0</v>
      </c>
      <c r="AA9" s="14">
        <f t="shared" si="16"/>
        <v>0</v>
      </c>
      <c r="AB9" s="11">
        <v>85295523.969999999</v>
      </c>
      <c r="AC9" s="14">
        <f t="shared" si="10"/>
        <v>0.98721671261574073</v>
      </c>
      <c r="AD9" s="13">
        <f t="shared" si="0"/>
        <v>71079603.308333337</v>
      </c>
      <c r="AE9" s="11">
        <v>9600000</v>
      </c>
      <c r="AF9" s="12">
        <f t="shared" si="11"/>
        <v>1</v>
      </c>
      <c r="AG9" s="12">
        <f t="shared" si="1"/>
        <v>0.90751746405952727</v>
      </c>
      <c r="AH9" s="11">
        <v>857807.9</v>
      </c>
      <c r="AI9" s="14">
        <f t="shared" si="2"/>
        <v>0.10160934135563192</v>
      </c>
      <c r="AK9" s="14">
        <f t="shared" si="3"/>
        <v>0.98121637775512405</v>
      </c>
      <c r="AL9" s="14">
        <f t="shared" si="4"/>
        <v>1.4723503958000617E-2</v>
      </c>
      <c r="AM9" s="14">
        <f t="shared" si="5"/>
        <v>3.1050429649090083E-3</v>
      </c>
      <c r="AN9" s="14">
        <f t="shared" si="6"/>
        <v>0</v>
      </c>
      <c r="AO9" s="14">
        <f t="shared" si="7"/>
        <v>6.0655777349777839E-4</v>
      </c>
      <c r="AP9" s="14">
        <f t="shared" si="8"/>
        <v>3.5137558051823625E-4</v>
      </c>
      <c r="AQ9" s="14">
        <f t="shared" si="9"/>
        <v>0</v>
      </c>
    </row>
    <row r="10" spans="1:43" x14ac:dyDescent="0.25">
      <c r="A10" s="10">
        <f t="shared" si="12"/>
        <v>6</v>
      </c>
      <c r="B10" s="15">
        <v>40664</v>
      </c>
      <c r="C10" s="10">
        <v>3573</v>
      </c>
      <c r="D10" s="11">
        <v>93597722.700000003</v>
      </c>
      <c r="E10" s="12">
        <f t="shared" si="13"/>
        <v>0.97497598126512575</v>
      </c>
      <c r="F10" s="21">
        <v>189654.18</v>
      </c>
      <c r="G10" s="21"/>
      <c r="H10" s="21"/>
      <c r="I10" s="21"/>
      <c r="J10" s="21"/>
      <c r="K10" s="21"/>
      <c r="L10" s="21"/>
      <c r="M10" s="17">
        <f>IF(F10&gt;0.01,F10,#REF!)/D9</f>
        <v>2.0178606387648772E-3</v>
      </c>
      <c r="N10" s="17">
        <f t="shared" si="17"/>
        <v>2.3947390796516865E-2</v>
      </c>
      <c r="O10" s="20">
        <f t="shared" si="18"/>
        <v>3.2174043370760276E-2</v>
      </c>
      <c r="P10" s="20">
        <f t="shared" si="19"/>
        <v>2.2079970735025323E-2</v>
      </c>
      <c r="Q10" s="20"/>
      <c r="R10" s="11">
        <v>0</v>
      </c>
      <c r="S10" s="18">
        <v>91689286</v>
      </c>
      <c r="T10" s="18">
        <v>1320064</v>
      </c>
      <c r="U10" s="18">
        <v>408231</v>
      </c>
      <c r="V10" s="18">
        <v>90107</v>
      </c>
      <c r="W10" s="18">
        <v>57009</v>
      </c>
      <c r="X10" s="18">
        <v>0</v>
      </c>
      <c r="Y10" s="45">
        <v>33025.35</v>
      </c>
      <c r="Z10" s="18">
        <f t="shared" si="15"/>
        <v>33025.35</v>
      </c>
      <c r="AA10" s="14">
        <f t="shared" si="16"/>
        <v>3.4401395775491677E-4</v>
      </c>
      <c r="AB10" s="11">
        <v>85027579.319999993</v>
      </c>
      <c r="AC10" s="14">
        <f t="shared" si="10"/>
        <v>0.98411550138888881</v>
      </c>
      <c r="AD10" s="13">
        <f t="shared" si="0"/>
        <v>70856316.099999994</v>
      </c>
      <c r="AE10" s="11">
        <v>9600000</v>
      </c>
      <c r="AF10" s="12">
        <f t="shared" si="11"/>
        <v>1</v>
      </c>
      <c r="AG10" s="12">
        <f t="shared" si="1"/>
        <v>0.90843641134871322</v>
      </c>
      <c r="AH10" s="11">
        <v>852955.24</v>
      </c>
      <c r="AI10" s="14">
        <f t="shared" si="2"/>
        <v>0.10067658002965497</v>
      </c>
      <c r="AK10" s="14">
        <f t="shared" si="3"/>
        <v>0.97961022293120381</v>
      </c>
      <c r="AL10" s="14">
        <f t="shared" si="4"/>
        <v>1.4103591005425178E-2</v>
      </c>
      <c r="AM10" s="14">
        <f t="shared" si="5"/>
        <v>4.3615484247246537E-3</v>
      </c>
      <c r="AN10" s="14">
        <f t="shared" si="6"/>
        <v>9.6270504666883308E-4</v>
      </c>
      <c r="AO10" s="14">
        <f t="shared" si="7"/>
        <v>6.090853319447269E-4</v>
      </c>
      <c r="AP10" s="14">
        <f t="shared" si="8"/>
        <v>0</v>
      </c>
      <c r="AQ10" s="14">
        <f t="shared" si="9"/>
        <v>3.5284352062552905E-4</v>
      </c>
    </row>
    <row r="11" spans="1:43" x14ac:dyDescent="0.25">
      <c r="A11" s="10">
        <f t="shared" si="12"/>
        <v>7</v>
      </c>
      <c r="B11" s="15">
        <v>40695</v>
      </c>
      <c r="C11" s="10">
        <v>3560</v>
      </c>
      <c r="D11" s="11">
        <v>93045206.299999997</v>
      </c>
      <c r="E11" s="12">
        <f t="shared" si="13"/>
        <v>0.96922060385085151</v>
      </c>
      <c r="F11" s="22">
        <v>266188.51</v>
      </c>
      <c r="G11" s="22"/>
      <c r="H11" s="22"/>
      <c r="I11" s="22"/>
      <c r="J11" s="22"/>
      <c r="K11" s="22"/>
      <c r="L11" s="22"/>
      <c r="M11" s="17">
        <f>IF(F11&gt;0.01,F11,#REF!)/D10</f>
        <v>2.8439635316041723E-3</v>
      </c>
      <c r="N11" s="17">
        <f t="shared" si="17"/>
        <v>3.3598774174119606E-2</v>
      </c>
      <c r="O11" s="20">
        <f t="shared" si="18"/>
        <v>3.2362147640758621E-2</v>
      </c>
      <c r="P11" s="20">
        <f t="shared" si="19"/>
        <v>2.3999771308207702E-2</v>
      </c>
      <c r="Q11" s="20"/>
      <c r="R11" s="11">
        <v>455734.92</v>
      </c>
      <c r="S11" s="18">
        <v>90908438</v>
      </c>
      <c r="T11" s="18">
        <v>1637366</v>
      </c>
      <c r="U11" s="18">
        <v>358831</v>
      </c>
      <c r="V11" s="18">
        <v>50536</v>
      </c>
      <c r="W11" s="18">
        <v>57009</v>
      </c>
      <c r="X11" s="18">
        <v>0</v>
      </c>
      <c r="Y11" s="18">
        <v>0</v>
      </c>
      <c r="Z11" s="18">
        <f t="shared" si="15"/>
        <v>33025.35</v>
      </c>
      <c r="AA11" s="14">
        <f t="shared" si="16"/>
        <v>3.4401395775491677E-4</v>
      </c>
      <c r="AB11" s="11">
        <v>84128773.359999999</v>
      </c>
      <c r="AC11" s="14">
        <f t="shared" si="10"/>
        <v>0.97371265462962964</v>
      </c>
      <c r="AD11" s="13">
        <f t="shared" si="0"/>
        <v>70107311.13333334</v>
      </c>
      <c r="AE11" s="11">
        <v>9600000</v>
      </c>
      <c r="AF11" s="12">
        <f t="shared" si="11"/>
        <v>1</v>
      </c>
      <c r="AG11" s="12">
        <f t="shared" si="1"/>
        <v>0.9041709584559221</v>
      </c>
      <c r="AH11" s="11">
        <v>850275.79</v>
      </c>
      <c r="AI11" s="14">
        <f t="shared" si="2"/>
        <v>0.10496734994073526</v>
      </c>
      <c r="AK11" s="14">
        <f t="shared" si="3"/>
        <v>0.9770351597361121</v>
      </c>
      <c r="AL11" s="14">
        <f t="shared" si="4"/>
        <v>1.7597532050396453E-2</v>
      </c>
      <c r="AM11" s="14">
        <f t="shared" si="5"/>
        <v>3.8565232349858309E-3</v>
      </c>
      <c r="AN11" s="14">
        <f t="shared" si="6"/>
        <v>5.4313383794388985E-4</v>
      </c>
      <c r="AO11" s="14">
        <f t="shared" si="7"/>
        <v>6.1270217206235592E-4</v>
      </c>
      <c r="AP11" s="14">
        <f t="shared" si="8"/>
        <v>0</v>
      </c>
      <c r="AQ11" s="14">
        <f t="shared" si="9"/>
        <v>0</v>
      </c>
    </row>
    <row r="12" spans="1:43" x14ac:dyDescent="0.25">
      <c r="A12" s="10">
        <f t="shared" si="12"/>
        <v>8</v>
      </c>
      <c r="B12" s="15">
        <v>40725</v>
      </c>
      <c r="C12" s="10">
        <v>3547</v>
      </c>
      <c r="D12" s="11">
        <v>92474781.129999995</v>
      </c>
      <c r="E12" s="12">
        <f t="shared" si="13"/>
        <v>0.96327867680587775</v>
      </c>
      <c r="F12" s="22">
        <v>324058.2</v>
      </c>
      <c r="G12" s="22"/>
      <c r="H12" s="22"/>
      <c r="I12" s="22"/>
      <c r="J12" s="22"/>
      <c r="K12" s="22"/>
      <c r="L12" s="22"/>
      <c r="M12" s="17">
        <f>IF(F12&gt;0.01,F12,#REF!)/D11</f>
        <v>3.4828038207058072E-3</v>
      </c>
      <c r="N12" s="17">
        <f t="shared" si="17"/>
        <v>4.100229268977118E-2</v>
      </c>
      <c r="O12" s="20">
        <f t="shared" si="18"/>
        <v>3.2849485886802553E-2</v>
      </c>
      <c r="P12" s="20">
        <f t="shared" si="19"/>
        <v>3.0324789284018883E-2</v>
      </c>
      <c r="Q12" s="20"/>
      <c r="R12" s="11"/>
      <c r="S12" s="18">
        <v>90391881</v>
      </c>
      <c r="T12" s="18">
        <v>1399135</v>
      </c>
      <c r="U12" s="18">
        <v>494309</v>
      </c>
      <c r="V12" s="18">
        <v>48885</v>
      </c>
      <c r="W12" s="18">
        <v>107546</v>
      </c>
      <c r="X12" s="18">
        <v>0</v>
      </c>
      <c r="Y12" s="18">
        <v>0</v>
      </c>
      <c r="Z12" s="18">
        <f t="shared" si="15"/>
        <v>33025.35</v>
      </c>
      <c r="AA12" s="14">
        <f t="shared" si="16"/>
        <v>3.4401395775491677E-4</v>
      </c>
      <c r="AB12" s="11">
        <v>83661604.209999993</v>
      </c>
      <c r="AC12" s="14">
        <f t="shared" si="10"/>
        <v>0.96830560428240731</v>
      </c>
      <c r="AD12" s="13">
        <f t="shared" si="0"/>
        <v>69718003.508333325</v>
      </c>
      <c r="AE12" s="11">
        <v>9600000</v>
      </c>
      <c r="AF12" s="12">
        <f t="shared" si="11"/>
        <v>1</v>
      </c>
      <c r="AG12" s="12">
        <f t="shared" si="1"/>
        <v>0.90469642844993015</v>
      </c>
      <c r="AH12" s="11">
        <v>841287.73</v>
      </c>
      <c r="AI12" s="14">
        <f t="shared" si="2"/>
        <v>0.10440105434180881</v>
      </c>
      <c r="AK12" s="14">
        <f t="shared" si="3"/>
        <v>0.97747601989917798</v>
      </c>
      <c r="AL12" s="14">
        <f t="shared" si="4"/>
        <v>1.5129908748127903E-2</v>
      </c>
      <c r="AM12" s="14">
        <f t="shared" si="5"/>
        <v>5.3453384150767115E-3</v>
      </c>
      <c r="AN12" s="14">
        <f t="shared" si="6"/>
        <v>5.2863061045019429E-4</v>
      </c>
      <c r="AO12" s="14">
        <f t="shared" si="7"/>
        <v>1.1629765292313918E-3</v>
      </c>
      <c r="AP12" s="14">
        <f t="shared" si="8"/>
        <v>0</v>
      </c>
      <c r="AQ12" s="14">
        <f t="shared" si="9"/>
        <v>0</v>
      </c>
    </row>
    <row r="13" spans="1:43" x14ac:dyDescent="0.25">
      <c r="A13" s="10">
        <f t="shared" si="12"/>
        <v>9</v>
      </c>
      <c r="B13" s="15">
        <v>40756</v>
      </c>
      <c r="C13" s="10">
        <v>3537</v>
      </c>
      <c r="D13" s="11">
        <v>91964344.640000001</v>
      </c>
      <c r="E13" s="12">
        <f t="shared" si="13"/>
        <v>0.95796163165397397</v>
      </c>
      <c r="F13" s="22">
        <v>292012.94</v>
      </c>
      <c r="G13" s="22"/>
      <c r="H13" s="22"/>
      <c r="I13" s="22"/>
      <c r="J13" s="22"/>
      <c r="K13" s="22"/>
      <c r="L13" s="22"/>
      <c r="M13" s="17">
        <f>IF(F13&gt;0.01,F13,#REF!)/D12</f>
        <v>3.1577575684065859E-3</v>
      </c>
      <c r="N13" s="17">
        <f t="shared" si="17"/>
        <v>3.7241854503097804E-2</v>
      </c>
      <c r="O13" s="20">
        <f t="shared" si="18"/>
        <v>3.7280973788996197E-2</v>
      </c>
      <c r="P13" s="20">
        <f t="shared" si="19"/>
        <v>3.472750857987824E-2</v>
      </c>
      <c r="Q13" s="20"/>
      <c r="R13" s="11">
        <v>0</v>
      </c>
      <c r="S13" s="18">
        <v>89991634</v>
      </c>
      <c r="T13" s="18">
        <v>1559622</v>
      </c>
      <c r="U13" s="18">
        <v>338713</v>
      </c>
      <c r="V13" s="18">
        <v>49045</v>
      </c>
      <c r="W13" s="18">
        <v>22670</v>
      </c>
      <c r="X13" s="18">
        <v>50536</v>
      </c>
      <c r="Y13" s="18">
        <v>0</v>
      </c>
      <c r="Z13" s="18">
        <f t="shared" si="15"/>
        <v>33025.35</v>
      </c>
      <c r="AA13" s="14">
        <f t="shared" si="16"/>
        <v>3.4401395775491677E-4</v>
      </c>
      <c r="AB13" s="11">
        <v>83268060.680000007</v>
      </c>
      <c r="AC13" s="14">
        <f t="shared" si="10"/>
        <v>0.96375070231481486</v>
      </c>
      <c r="AD13" s="13">
        <f t="shared" si="0"/>
        <v>69390050.566666678</v>
      </c>
      <c r="AE13" s="11">
        <v>9600000</v>
      </c>
      <c r="AF13" s="12">
        <f t="shared" si="11"/>
        <v>1</v>
      </c>
      <c r="AG13" s="12">
        <f t="shared" si="1"/>
        <v>0.90543852626752108</v>
      </c>
      <c r="AH13" s="11">
        <v>836616.04</v>
      </c>
      <c r="AI13" s="14">
        <f t="shared" si="2"/>
        <v>0.10365865202777354</v>
      </c>
      <c r="AK13" s="14">
        <f t="shared" si="3"/>
        <v>0.9785491796008301</v>
      </c>
      <c r="AL13" s="14">
        <f t="shared" si="4"/>
        <v>1.6958985638458414E-2</v>
      </c>
      <c r="AM13" s="14">
        <f t="shared" si="5"/>
        <v>3.6830904556098623E-3</v>
      </c>
      <c r="AN13" s="14">
        <f t="shared" si="6"/>
        <v>5.3330451265639549E-4</v>
      </c>
      <c r="AO13" s="14">
        <f t="shared" si="7"/>
        <v>2.4650857991478209E-4</v>
      </c>
      <c r="AP13" s="14">
        <f t="shared" si="8"/>
        <v>5.4951731780209206E-4</v>
      </c>
      <c r="AQ13" s="14">
        <f t="shared" si="9"/>
        <v>0</v>
      </c>
    </row>
    <row r="14" spans="1:43" x14ac:dyDescent="0.25">
      <c r="A14" s="10">
        <f t="shared" si="12"/>
        <v>10</v>
      </c>
      <c r="B14" s="15">
        <v>40787</v>
      </c>
      <c r="C14" s="10">
        <v>3521</v>
      </c>
      <c r="D14" s="11">
        <v>91295546.290000007</v>
      </c>
      <c r="E14" s="12">
        <f t="shared" si="13"/>
        <v>0.95099498429600637</v>
      </c>
      <c r="F14" s="22">
        <v>406271.31</v>
      </c>
      <c r="G14" s="22"/>
      <c r="H14" s="22"/>
      <c r="I14" s="22"/>
      <c r="J14" s="22"/>
      <c r="K14" s="22"/>
      <c r="L14" s="22"/>
      <c r="M14" s="17">
        <f>IF(F14&gt;0.01,F14,#REF!)/D13</f>
        <v>4.4177046179187558E-3</v>
      </c>
      <c r="N14" s="17">
        <f t="shared" si="17"/>
        <v>5.1743172289846484E-2</v>
      </c>
      <c r="O14" s="20">
        <f t="shared" si="18"/>
        <v>4.332910649423849E-2</v>
      </c>
      <c r="P14" s="20">
        <f t="shared" si="19"/>
        <v>3.7845627067498555E-2</v>
      </c>
      <c r="Q14" s="20"/>
      <c r="R14" s="11">
        <v>0</v>
      </c>
      <c r="S14" s="18">
        <v>89394154</v>
      </c>
      <c r="T14" s="18">
        <v>1342872</v>
      </c>
      <c r="U14" s="18">
        <v>392456</v>
      </c>
      <c r="V14" s="18">
        <v>36329</v>
      </c>
      <c r="W14" s="18">
        <v>23504</v>
      </c>
      <c r="X14" s="18">
        <v>22670</v>
      </c>
      <c r="Y14" s="45">
        <v>50536.39</v>
      </c>
      <c r="Z14" s="18">
        <f t="shared" si="15"/>
        <v>83561.739999999991</v>
      </c>
      <c r="AA14" s="14">
        <f t="shared" si="16"/>
        <v>8.7043452663748721E-4</v>
      </c>
      <c r="AB14" s="11">
        <v>82693189.760000005</v>
      </c>
      <c r="AC14" s="14">
        <f t="shared" si="10"/>
        <v>0.95709710370370371</v>
      </c>
      <c r="AD14" s="13">
        <f t="shared" si="0"/>
        <v>68910991.466666669</v>
      </c>
      <c r="AE14" s="11">
        <v>9600000</v>
      </c>
      <c r="AF14" s="12">
        <f t="shared" si="11"/>
        <v>1</v>
      </c>
      <c r="AG14" s="12">
        <f t="shared" si="1"/>
        <v>0.90577463107921341</v>
      </c>
      <c r="AH14" s="11">
        <v>832680.61</v>
      </c>
      <c r="AI14" s="14">
        <f t="shared" si="2"/>
        <v>0.10334608338975962</v>
      </c>
      <c r="AK14" s="14">
        <f t="shared" si="3"/>
        <v>0.97917321964468851</v>
      </c>
      <c r="AL14" s="14">
        <f t="shared" si="4"/>
        <v>1.4709063635310002E-2</v>
      </c>
      <c r="AM14" s="14">
        <f t="shared" si="5"/>
        <v>4.2987420082176275E-3</v>
      </c>
      <c r="AN14" s="14">
        <f t="shared" si="6"/>
        <v>3.9792740693616149E-4</v>
      </c>
      <c r="AO14" s="14">
        <f t="shared" si="7"/>
        <v>2.5744957947170411E-4</v>
      </c>
      <c r="AP14" s="14">
        <f t="shared" si="8"/>
        <v>2.4831441314769967E-4</v>
      </c>
      <c r="AQ14" s="14">
        <f t="shared" si="9"/>
        <v>5.5354715595294559E-4</v>
      </c>
    </row>
    <row r="15" spans="1:43" x14ac:dyDescent="0.25">
      <c r="A15" s="10">
        <f t="shared" si="12"/>
        <v>11</v>
      </c>
      <c r="B15" s="15">
        <v>40817</v>
      </c>
      <c r="C15" s="10">
        <v>3509</v>
      </c>
      <c r="D15" s="11">
        <v>90742024.629999995</v>
      </c>
      <c r="E15" s="12">
        <f t="shared" si="13"/>
        <v>0.94522913542658715</v>
      </c>
      <c r="F15" s="21">
        <v>297772.73</v>
      </c>
      <c r="G15" s="21"/>
      <c r="H15" s="21"/>
      <c r="I15" s="21"/>
      <c r="J15" s="21"/>
      <c r="K15" s="21"/>
      <c r="L15" s="21"/>
      <c r="M15" s="17">
        <f>IF(F15&gt;0.01,F15,#REF!)/D14</f>
        <v>3.2616347905310285E-3</v>
      </c>
      <c r="N15" s="17">
        <f t="shared" si="17"/>
        <v>3.844507008496667E-2</v>
      </c>
      <c r="O15" s="20">
        <f t="shared" si="18"/>
        <v>4.2476698959303651E-2</v>
      </c>
      <c r="P15" s="20">
        <f t="shared" si="19"/>
        <v>3.7663092423053102E-2</v>
      </c>
      <c r="Q15" s="20"/>
      <c r="R15" s="11">
        <v>0</v>
      </c>
      <c r="S15" s="18">
        <v>88842696</v>
      </c>
      <c r="T15" s="18">
        <v>1294554</v>
      </c>
      <c r="U15" s="18">
        <v>453462</v>
      </c>
      <c r="V15" s="18">
        <v>77272</v>
      </c>
      <c r="W15" s="18">
        <v>0</v>
      </c>
      <c r="X15" s="18">
        <v>74040</v>
      </c>
      <c r="Y15" s="18">
        <v>0</v>
      </c>
      <c r="Z15" s="18">
        <f t="shared" si="15"/>
        <v>83561.739999999991</v>
      </c>
      <c r="AA15" s="14">
        <f t="shared" si="16"/>
        <v>8.7043452663748721E-4</v>
      </c>
      <c r="AB15" s="11">
        <v>82249728.579999998</v>
      </c>
      <c r="AC15" s="14">
        <f t="shared" si="10"/>
        <v>0.95196445115740735</v>
      </c>
      <c r="AD15" s="13">
        <f t="shared" si="0"/>
        <v>68541440.483333334</v>
      </c>
      <c r="AE15" s="11">
        <v>9600000</v>
      </c>
      <c r="AF15" s="12">
        <f t="shared" si="11"/>
        <v>1</v>
      </c>
      <c r="AG15" s="12">
        <f t="shared" si="1"/>
        <v>0.90641275545010946</v>
      </c>
      <c r="AH15" s="11">
        <v>826931.9</v>
      </c>
      <c r="AI15" s="14">
        <f t="shared" si="2"/>
        <v>0.10270024267145342</v>
      </c>
      <c r="AK15" s="14">
        <f t="shared" si="3"/>
        <v>0.97906891941474206</v>
      </c>
      <c r="AL15" s="14">
        <f t="shared" si="4"/>
        <v>1.4266311615577626E-2</v>
      </c>
      <c r="AM15" s="14">
        <f t="shared" si="5"/>
        <v>4.997265620300939E-3</v>
      </c>
      <c r="AN15" s="14">
        <f t="shared" si="6"/>
        <v>8.5155693092672411E-4</v>
      </c>
      <c r="AO15" s="14">
        <f t="shared" si="7"/>
        <v>0</v>
      </c>
      <c r="AP15" s="14">
        <f t="shared" si="8"/>
        <v>8.1593947569384316E-4</v>
      </c>
      <c r="AQ15" s="14">
        <f t="shared" si="9"/>
        <v>0</v>
      </c>
    </row>
    <row r="16" spans="1:43" x14ac:dyDescent="0.25">
      <c r="A16" s="10">
        <f t="shared" si="12"/>
        <v>12</v>
      </c>
      <c r="B16" s="15">
        <v>40848</v>
      </c>
      <c r="C16" s="10">
        <v>3506</v>
      </c>
      <c r="D16" s="11">
        <v>90469890.329999998</v>
      </c>
      <c r="E16" s="12">
        <f t="shared" si="13"/>
        <v>0.94239440399803709</v>
      </c>
      <c r="F16" s="21">
        <v>73159.17</v>
      </c>
      <c r="G16" s="21"/>
      <c r="H16" s="21"/>
      <c r="I16" s="21"/>
      <c r="J16" s="21"/>
      <c r="K16" s="21"/>
      <c r="L16" s="21"/>
      <c r="M16" s="17">
        <f>IF(F16&gt;0.01,F16,#REF!)/D15</f>
        <v>8.0623250691513697E-4</v>
      </c>
      <c r="N16" s="17">
        <f t="shared" si="17"/>
        <v>9.6320044508366731E-3</v>
      </c>
      <c r="O16" s="20">
        <f t="shared" si="18"/>
        <v>3.327341560854994E-2</v>
      </c>
      <c r="P16" s="20">
        <f t="shared" si="19"/>
        <v>3.5277194698773072E-2</v>
      </c>
      <c r="Q16" s="17">
        <f>AVERAGE(N5:N16)</f>
        <v>2.9278456533433184E-2</v>
      </c>
      <c r="R16" s="11"/>
      <c r="S16" s="18">
        <v>88089749</v>
      </c>
      <c r="T16" s="18">
        <v>1758758</v>
      </c>
      <c r="U16" s="18">
        <v>479703</v>
      </c>
      <c r="V16" s="18">
        <v>44971</v>
      </c>
      <c r="W16" s="18">
        <v>0</v>
      </c>
      <c r="X16" s="18">
        <v>57375</v>
      </c>
      <c r="Y16" s="45">
        <v>39335.07</v>
      </c>
      <c r="Z16" s="18">
        <f t="shared" si="15"/>
        <v>122896.81</v>
      </c>
      <c r="AA16" s="14">
        <f t="shared" si="16"/>
        <v>1.2801747143801365E-3</v>
      </c>
      <c r="AB16" s="11">
        <v>82076378.799999997</v>
      </c>
      <c r="AC16" s="14">
        <f t="shared" si="10"/>
        <v>0.94995808796296288</v>
      </c>
      <c r="AD16" s="13">
        <f t="shared" si="0"/>
        <v>68396982.333333328</v>
      </c>
      <c r="AE16" s="11">
        <v>9600000</v>
      </c>
      <c r="AF16" s="12">
        <f t="shared" si="11"/>
        <v>1</v>
      </c>
      <c r="AG16" s="12">
        <f t="shared" si="1"/>
        <v>0.90722314905673429</v>
      </c>
      <c r="AH16" s="11">
        <v>822497.29</v>
      </c>
      <c r="AI16" s="14">
        <f t="shared" si="2"/>
        <v>0.10186824352702858</v>
      </c>
      <c r="AK16" s="14">
        <f t="shared" si="3"/>
        <v>0.97369134281783543</v>
      </c>
      <c r="AL16" s="14">
        <f t="shared" si="4"/>
        <v>1.9440257897790247E-2</v>
      </c>
      <c r="AM16" s="14">
        <f t="shared" si="5"/>
        <v>5.3023497458682062E-3</v>
      </c>
      <c r="AN16" s="14">
        <f t="shared" si="6"/>
        <v>4.9708250817993448E-4</v>
      </c>
      <c r="AO16" s="14">
        <f t="shared" si="7"/>
        <v>0</v>
      </c>
      <c r="AP16" s="14">
        <f t="shared" si="8"/>
        <v>6.3418889744110076E-4</v>
      </c>
      <c r="AQ16" s="14">
        <f t="shared" si="9"/>
        <v>4.3478631240206569E-4</v>
      </c>
    </row>
    <row r="17" spans="1:43" x14ac:dyDescent="0.25">
      <c r="A17" s="10">
        <f t="shared" si="12"/>
        <v>13</v>
      </c>
      <c r="B17" s="15">
        <v>40878</v>
      </c>
      <c r="C17" s="10">
        <v>3491</v>
      </c>
      <c r="D17" s="11">
        <v>89794814.569999993</v>
      </c>
      <c r="E17" s="12">
        <f t="shared" si="13"/>
        <v>0.93536236697247921</v>
      </c>
      <c r="F17" s="22">
        <v>409134.92</v>
      </c>
      <c r="G17" s="22"/>
      <c r="H17" s="22"/>
      <c r="I17" s="22"/>
      <c r="J17" s="22"/>
      <c r="K17" s="22"/>
      <c r="L17" s="22"/>
      <c r="M17" s="17">
        <f>IF(F17&gt;0.01,F17,#REF!)/D16</f>
        <v>4.5223324412976551E-3</v>
      </c>
      <c r="N17" s="17">
        <f t="shared" si="17"/>
        <v>5.2938332815313793E-2</v>
      </c>
      <c r="O17" s="20">
        <f t="shared" si="18"/>
        <v>3.3671802450372379E-2</v>
      </c>
      <c r="P17" s="20">
        <f t="shared" si="19"/>
        <v>3.8500454472305434E-2</v>
      </c>
      <c r="Q17" s="17">
        <f t="shared" ref="Q17:Q47" si="20">AVERAGE(N6:N17)</f>
        <v>3.1250112890256566E-2</v>
      </c>
      <c r="R17" s="11">
        <v>0</v>
      </c>
      <c r="S17" s="18">
        <v>86916763</v>
      </c>
      <c r="T17" s="18">
        <v>1976454</v>
      </c>
      <c r="U17" s="18">
        <v>630195</v>
      </c>
      <c r="V17" s="18">
        <v>151463</v>
      </c>
      <c r="W17" s="18">
        <v>23049</v>
      </c>
      <c r="X17" s="18">
        <v>22670</v>
      </c>
      <c r="Z17" s="18">
        <f>+Z16+Y17</f>
        <v>122896.81</v>
      </c>
      <c r="AA17" s="14">
        <f t="shared" si="16"/>
        <v>1.2801747143801365E-3</v>
      </c>
      <c r="AB17" s="11">
        <v>81512223.129999995</v>
      </c>
      <c r="AC17" s="14">
        <f t="shared" si="10"/>
        <v>0.943428508449074</v>
      </c>
      <c r="AD17" s="13">
        <f t="shared" si="0"/>
        <v>67926852.608333334</v>
      </c>
      <c r="AE17" s="11">
        <v>9600000</v>
      </c>
      <c r="AF17" s="12">
        <f t="shared" si="11"/>
        <v>1</v>
      </c>
      <c r="AG17" s="12">
        <f t="shared" si="1"/>
        <v>0.90776091604328379</v>
      </c>
      <c r="AH17" s="11">
        <v>820763.79</v>
      </c>
      <c r="AI17" s="14">
        <f t="shared" si="2"/>
        <v>0.10137952033859859</v>
      </c>
      <c r="AK17" s="14">
        <f t="shared" si="3"/>
        <v>0.96794857716693217</v>
      </c>
      <c r="AL17" s="14">
        <f t="shared" si="4"/>
        <v>2.2010781017418834E-2</v>
      </c>
      <c r="AM17" s="14">
        <f t="shared" si="5"/>
        <v>7.0181669511520444E-3</v>
      </c>
      <c r="AN17" s="14">
        <f t="shared" si="6"/>
        <v>1.6867677796909562E-3</v>
      </c>
      <c r="AO17" s="14">
        <f t="shared" si="7"/>
        <v>2.5668520070312121E-4</v>
      </c>
      <c r="AP17" s="14">
        <f t="shared" si="8"/>
        <v>2.5246446700246246E-4</v>
      </c>
      <c r="AQ17" s="14">
        <f t="shared" si="9"/>
        <v>0</v>
      </c>
    </row>
    <row r="18" spans="1:43" x14ac:dyDescent="0.25">
      <c r="A18" s="10">
        <f t="shared" si="12"/>
        <v>14</v>
      </c>
      <c r="B18" s="15">
        <v>40909</v>
      </c>
      <c r="C18" s="10">
        <v>3483</v>
      </c>
      <c r="D18" s="11">
        <v>89289198.129999995</v>
      </c>
      <c r="E18" s="12">
        <f t="shared" si="13"/>
        <v>0.93009553065945449</v>
      </c>
      <c r="F18" s="22">
        <v>208610.78</v>
      </c>
      <c r="G18" s="22"/>
      <c r="H18" s="22"/>
      <c r="I18" s="22"/>
      <c r="J18" s="22"/>
      <c r="K18" s="22"/>
      <c r="L18" s="22"/>
      <c r="M18" s="17">
        <f>IF(F18&gt;0.01,F18,#REF!)/D17</f>
        <v>2.3231940619174219E-3</v>
      </c>
      <c r="N18" s="17">
        <f t="shared" si="17"/>
        <v>2.7524855693330963E-2</v>
      </c>
      <c r="O18" s="20">
        <f t="shared" si="18"/>
        <v>3.003173098649381E-2</v>
      </c>
      <c r="P18" s="20">
        <f t="shared" si="19"/>
        <v>3.6254214972898734E-2</v>
      </c>
      <c r="Q18" s="17">
        <f t="shared" si="20"/>
        <v>3.3289502128458805E-2</v>
      </c>
      <c r="R18" s="11">
        <v>0</v>
      </c>
      <c r="S18" s="18">
        <v>86743853</v>
      </c>
      <c r="T18" s="18">
        <v>1764442</v>
      </c>
      <c r="U18" s="18">
        <v>650771</v>
      </c>
      <c r="V18" s="18">
        <v>83959</v>
      </c>
      <c r="W18" s="18">
        <v>22670</v>
      </c>
      <c r="X18" s="18">
        <v>0</v>
      </c>
      <c r="Y18" s="18">
        <v>0</v>
      </c>
      <c r="Z18" s="18">
        <f>+Z16</f>
        <v>122896.81</v>
      </c>
      <c r="AA18" s="14">
        <f t="shared" si="16"/>
        <v>1.2801747143801365E-3</v>
      </c>
      <c r="AB18" s="11">
        <v>81106715.170000002</v>
      </c>
      <c r="AC18" s="14">
        <f t="shared" si="10"/>
        <v>0.93873512928240743</v>
      </c>
      <c r="AD18" s="13">
        <f t="shared" si="0"/>
        <v>67588929.308333337</v>
      </c>
      <c r="AE18" s="11">
        <v>9600000</v>
      </c>
      <c r="AF18" s="12">
        <f t="shared" si="11"/>
        <v>1</v>
      </c>
      <c r="AG18" s="12">
        <f t="shared" si="1"/>
        <v>0.90835976656340034</v>
      </c>
      <c r="AH18" s="11">
        <v>815122.23</v>
      </c>
      <c r="AI18" s="14">
        <f t="shared" si="2"/>
        <v>0.10076924620713915</v>
      </c>
      <c r="AK18" s="14">
        <f t="shared" si="3"/>
        <v>0.97149324685059757</v>
      </c>
      <c r="AL18" s="14">
        <f t="shared" si="4"/>
        <v>1.9760979345240313E-2</v>
      </c>
      <c r="AM18" s="14">
        <f t="shared" si="5"/>
        <v>7.2883508154313855E-3</v>
      </c>
      <c r="AN18" s="14">
        <f t="shared" si="6"/>
        <v>9.4030411022126635E-4</v>
      </c>
      <c r="AO18" s="14">
        <f t="shared" si="7"/>
        <v>2.538940932921558E-4</v>
      </c>
      <c r="AP18" s="14">
        <f t="shared" si="8"/>
        <v>0</v>
      </c>
      <c r="AQ18" s="14">
        <f t="shared" si="9"/>
        <v>0</v>
      </c>
    </row>
    <row r="19" spans="1:43" x14ac:dyDescent="0.25">
      <c r="A19" s="10">
        <f t="shared" si="12"/>
        <v>15</v>
      </c>
      <c r="B19" s="23">
        <v>40951</v>
      </c>
      <c r="C19" s="10">
        <v>3471</v>
      </c>
      <c r="D19" s="11">
        <v>88738519.799999997</v>
      </c>
      <c r="E19" s="12">
        <f t="shared" si="13"/>
        <v>0.92435929980185061</v>
      </c>
      <c r="F19" s="22">
        <v>318162.65999999997</v>
      </c>
      <c r="G19" s="22"/>
      <c r="H19" s="22"/>
      <c r="I19" s="22"/>
      <c r="J19" s="22"/>
      <c r="K19" s="22"/>
      <c r="L19" s="22"/>
      <c r="M19" s="17">
        <f>IF(F19&gt;0.01,F19,#REF!)/D18</f>
        <v>3.5632827560705968E-3</v>
      </c>
      <c r="N19" s="17">
        <f t="shared" si="17"/>
        <v>4.1931266229021102E-2</v>
      </c>
      <c r="O19" s="20">
        <f t="shared" si="18"/>
        <v>4.0798151579221953E-2</v>
      </c>
      <c r="P19" s="20">
        <f t="shared" si="19"/>
        <v>3.703578359388595E-2</v>
      </c>
      <c r="Q19" s="17">
        <f t="shared" si="20"/>
        <v>3.5881646086882095E-2</v>
      </c>
      <c r="R19" s="11">
        <v>0</v>
      </c>
      <c r="S19" s="18">
        <v>86095474</v>
      </c>
      <c r="T19" s="18">
        <v>1875120</v>
      </c>
      <c r="U19" s="18">
        <v>516133</v>
      </c>
      <c r="V19" s="18">
        <v>181281</v>
      </c>
      <c r="W19" s="18">
        <v>47007</v>
      </c>
      <c r="X19" s="18">
        <v>0</v>
      </c>
      <c r="Y19" s="18">
        <v>0</v>
      </c>
      <c r="Z19" s="18">
        <f t="shared" si="15"/>
        <v>122896.81</v>
      </c>
      <c r="AA19" s="14">
        <f t="shared" si="16"/>
        <v>1.2801747143801365E-3</v>
      </c>
      <c r="AB19" s="11">
        <v>80633278.230000004</v>
      </c>
      <c r="AC19" s="14">
        <f t="shared" si="10"/>
        <v>0.93325553506944448</v>
      </c>
      <c r="AD19" s="13">
        <f t="shared" si="0"/>
        <v>67194398.525000006</v>
      </c>
      <c r="AE19" s="11">
        <v>9600000</v>
      </c>
      <c r="AF19" s="12">
        <f t="shared" si="11"/>
        <v>1</v>
      </c>
      <c r="AG19" s="12">
        <f t="shared" si="1"/>
        <v>0.90866151939126671</v>
      </c>
      <c r="AH19" s="11">
        <v>811067.15</v>
      </c>
      <c r="AI19" s="14">
        <f t="shared" si="2"/>
        <v>0.10047844769211486</v>
      </c>
      <c r="AK19" s="14">
        <f t="shared" si="3"/>
        <v>0.97021534947893062</v>
      </c>
      <c r="AL19" s="14">
        <f t="shared" si="4"/>
        <v>2.1130846043253475E-2</v>
      </c>
      <c r="AM19" s="14">
        <f t="shared" si="5"/>
        <v>5.8163354669794705E-3</v>
      </c>
      <c r="AN19" s="14">
        <f t="shared" si="6"/>
        <v>2.0428670706765608E-3</v>
      </c>
      <c r="AO19" s="14">
        <f t="shared" si="7"/>
        <v>5.2972486025172584E-4</v>
      </c>
      <c r="AP19" s="14">
        <f t="shared" si="8"/>
        <v>0</v>
      </c>
      <c r="AQ19" s="14">
        <f t="shared" si="9"/>
        <v>0</v>
      </c>
    </row>
    <row r="20" spans="1:43" x14ac:dyDescent="0.25">
      <c r="A20" s="10">
        <f t="shared" si="12"/>
        <v>16</v>
      </c>
      <c r="B20" s="15">
        <v>40969</v>
      </c>
      <c r="C20" s="10">
        <v>3467</v>
      </c>
      <c r="D20" s="11">
        <v>88440991.879999995</v>
      </c>
      <c r="E20" s="12">
        <f t="shared" si="13"/>
        <v>0.9212600515788405</v>
      </c>
      <c r="F20" s="21">
        <v>89193.54</v>
      </c>
      <c r="G20" s="21"/>
      <c r="H20" s="21"/>
      <c r="I20" s="21"/>
      <c r="J20" s="21"/>
      <c r="K20" s="21"/>
      <c r="L20" s="21"/>
      <c r="M20" s="17">
        <f>IF(F20&gt;0.01,F20,#REF!)/D19</f>
        <v>1.0051276514531178E-3</v>
      </c>
      <c r="N20" s="17">
        <f t="shared" si="17"/>
        <v>1.1995076129333482E-2</v>
      </c>
      <c r="O20" s="20">
        <f t="shared" si="18"/>
        <v>2.7150399350561849E-2</v>
      </c>
      <c r="P20" s="20">
        <f t="shared" si="19"/>
        <v>3.0411100900467114E-2</v>
      </c>
      <c r="Q20" s="17">
        <f t="shared" si="20"/>
        <v>3.4128363983982835E-2</v>
      </c>
      <c r="R20" s="11">
        <v>1614840.34</v>
      </c>
      <c r="S20" s="18">
        <v>85332573</v>
      </c>
      <c r="T20" s="18">
        <v>2158155</v>
      </c>
      <c r="U20" s="18">
        <v>625557</v>
      </c>
      <c r="V20" s="18">
        <v>207114</v>
      </c>
      <c r="W20" s="18">
        <v>94088</v>
      </c>
      <c r="X20" s="18">
        <v>0</v>
      </c>
      <c r="Y20" s="18">
        <v>0</v>
      </c>
      <c r="Z20" s="18">
        <f t="shared" si="15"/>
        <v>122896.81</v>
      </c>
      <c r="AA20" s="14">
        <f t="shared" si="16"/>
        <v>1.2801747143801365E-3</v>
      </c>
      <c r="AB20" s="11">
        <v>79596866.400000006</v>
      </c>
      <c r="AC20" s="14">
        <f t="shared" si="10"/>
        <v>0.92126002777777782</v>
      </c>
      <c r="AD20" s="13">
        <f t="shared" si="0"/>
        <v>66330722.000000007</v>
      </c>
      <c r="AE20" s="11">
        <v>9600000</v>
      </c>
      <c r="AF20" s="12">
        <f t="shared" si="11"/>
        <v>1</v>
      </c>
      <c r="AG20" s="12">
        <f t="shared" si="1"/>
        <v>0.89999970271703844</v>
      </c>
      <c r="AH20" s="11">
        <v>806332.78</v>
      </c>
      <c r="AI20" s="14">
        <f t="shared" si="2"/>
        <v>0.10911748110077835</v>
      </c>
      <c r="AK20" s="14">
        <f t="shared" si="3"/>
        <v>0.96485318839235079</v>
      </c>
      <c r="AL20" s="14">
        <f t="shared" si="4"/>
        <v>2.440220257737797E-2</v>
      </c>
      <c r="AM20" s="14">
        <f t="shared" si="5"/>
        <v>7.0731567647814133E-3</v>
      </c>
      <c r="AN20" s="14">
        <f t="shared" si="6"/>
        <v>2.3418326230558329E-3</v>
      </c>
      <c r="AO20" s="14">
        <f t="shared" si="7"/>
        <v>1.0638505742638219E-3</v>
      </c>
      <c r="AP20" s="14">
        <f t="shared" si="8"/>
        <v>0</v>
      </c>
      <c r="AQ20" s="14">
        <f t="shared" si="9"/>
        <v>0</v>
      </c>
    </row>
    <row r="21" spans="1:43" x14ac:dyDescent="0.25">
      <c r="A21" s="10">
        <f t="shared" si="12"/>
        <v>17</v>
      </c>
      <c r="B21" s="15">
        <v>41000</v>
      </c>
      <c r="C21" s="10">
        <v>3459</v>
      </c>
      <c r="D21" s="11">
        <v>87974059.379999995</v>
      </c>
      <c r="E21" s="12">
        <f t="shared" si="13"/>
        <v>0.91639617285145691</v>
      </c>
      <c r="F21" s="21">
        <v>226072.22</v>
      </c>
      <c r="G21" s="21"/>
      <c r="H21" s="21"/>
      <c r="I21" s="21"/>
      <c r="J21" s="21"/>
      <c r="K21" s="21"/>
      <c r="L21" s="21"/>
      <c r="M21" s="17">
        <f>IF(F21&gt;0.01,F21,#REF!)/D20</f>
        <v>2.55619272459928E-3</v>
      </c>
      <c r="N21" s="17">
        <f t="shared" si="17"/>
        <v>3.0246714189385404E-2</v>
      </c>
      <c r="O21" s="20">
        <f t="shared" si="18"/>
        <v>2.8057685515913328E-2</v>
      </c>
      <c r="P21" s="20">
        <f t="shared" si="19"/>
        <v>2.9044708251203571E-2</v>
      </c>
      <c r="Q21" s="17">
        <f t="shared" si="20"/>
        <v>3.3353900337128338E-2</v>
      </c>
      <c r="R21" s="11">
        <v>758950.37</v>
      </c>
      <c r="S21" s="18">
        <v>84755083</v>
      </c>
      <c r="T21" s="18">
        <v>2333615</v>
      </c>
      <c r="U21" s="18">
        <v>706417</v>
      </c>
      <c r="V21" s="18">
        <v>104543</v>
      </c>
      <c r="W21" s="18">
        <v>37380</v>
      </c>
      <c r="X21" s="18">
        <v>13517</v>
      </c>
      <c r="Y21" s="18">
        <v>0</v>
      </c>
      <c r="Z21" s="18">
        <f t="shared" si="15"/>
        <v>122896.81</v>
      </c>
      <c r="AA21" s="14">
        <f t="shared" si="16"/>
        <v>1.2801747143801365E-3</v>
      </c>
      <c r="AB21" s="11">
        <v>78869110.760000005</v>
      </c>
      <c r="AC21" s="14">
        <f t="shared" si="10"/>
        <v>0.9128369300925927</v>
      </c>
      <c r="AD21" s="13">
        <f t="shared" si="0"/>
        <v>65724258.966666676</v>
      </c>
      <c r="AE21" s="11">
        <v>9600000</v>
      </c>
      <c r="AF21" s="12">
        <f t="shared" si="11"/>
        <v>1</v>
      </c>
      <c r="AG21" s="12">
        <f t="shared" si="1"/>
        <v>0.89650416629438945</v>
      </c>
      <c r="AH21" s="11">
        <v>795698.66</v>
      </c>
      <c r="AI21" s="14">
        <f t="shared" si="2"/>
        <v>0.11254053012643858</v>
      </c>
      <c r="AK21" s="14">
        <f t="shared" si="3"/>
        <v>0.96340993694407384</v>
      </c>
      <c r="AL21" s="14">
        <f t="shared" si="4"/>
        <v>2.652617165157805E-2</v>
      </c>
      <c r="AM21" s="14">
        <f t="shared" si="5"/>
        <v>8.0298329414204197E-3</v>
      </c>
      <c r="AN21" s="14">
        <f t="shared" si="6"/>
        <v>1.188338934644714E-3</v>
      </c>
      <c r="AO21" s="14">
        <f t="shared" si="7"/>
        <v>4.2489797860229196E-4</v>
      </c>
      <c r="AP21" s="14">
        <f t="shared" si="8"/>
        <v>1.536475649215404E-4</v>
      </c>
      <c r="AQ21" s="14">
        <f t="shared" si="9"/>
        <v>0</v>
      </c>
    </row>
    <row r="22" spans="1:43" x14ac:dyDescent="0.25">
      <c r="A22" s="10">
        <f t="shared" si="12"/>
        <v>18</v>
      </c>
      <c r="B22" s="15">
        <v>41030</v>
      </c>
      <c r="C22" s="10">
        <v>3448</v>
      </c>
      <c r="D22" s="11">
        <v>87486713.329999998</v>
      </c>
      <c r="E22" s="12">
        <f t="shared" si="13"/>
        <v>0.91131965304298479</v>
      </c>
      <c r="F22" s="11">
        <v>239728.07</v>
      </c>
      <c r="G22" s="11"/>
      <c r="H22" s="11"/>
      <c r="I22" s="11"/>
      <c r="J22" s="11"/>
      <c r="K22" s="11"/>
      <c r="L22" s="11"/>
      <c r="M22" s="17">
        <f>IF(F22&gt;0.01,F22,#REF!)/D21</f>
        <v>2.7249858843560394E-3</v>
      </c>
      <c r="N22" s="17">
        <f t="shared" si="17"/>
        <v>3.2214168857598313E-2</v>
      </c>
      <c r="O22" s="20">
        <f t="shared" si="18"/>
        <v>2.48186530587724E-2</v>
      </c>
      <c r="P22" s="20">
        <f t="shared" si="19"/>
        <v>3.2808402318997176E-2</v>
      </c>
      <c r="Q22" s="17">
        <f t="shared" si="20"/>
        <v>3.4042798508885121E-2</v>
      </c>
      <c r="R22" s="11">
        <v>0</v>
      </c>
      <c r="S22" s="18">
        <v>83533621</v>
      </c>
      <c r="T22" s="18">
        <v>2795422</v>
      </c>
      <c r="U22" s="18">
        <v>930819</v>
      </c>
      <c r="V22" s="18">
        <v>104905</v>
      </c>
      <c r="W22" s="18">
        <v>47454</v>
      </c>
      <c r="X22" s="18">
        <v>37380</v>
      </c>
      <c r="Y22" s="45">
        <v>14790</v>
      </c>
      <c r="Z22" s="18">
        <f t="shared" si="15"/>
        <v>137686.81</v>
      </c>
      <c r="AA22" s="14">
        <f t="shared" si="16"/>
        <v>1.434237167471329E-3</v>
      </c>
      <c r="AB22" s="11">
        <v>78472473.930000007</v>
      </c>
      <c r="AC22" s="14">
        <f t="shared" si="10"/>
        <v>0.90824622604166672</v>
      </c>
      <c r="AD22" s="13">
        <f t="shared" si="0"/>
        <v>65393728.275000006</v>
      </c>
      <c r="AE22" s="11">
        <v>9600000</v>
      </c>
      <c r="AF22" s="12">
        <f t="shared" si="11"/>
        <v>1</v>
      </c>
      <c r="AG22" s="12">
        <f t="shared" si="1"/>
        <v>0.89696447543985025</v>
      </c>
      <c r="AH22" s="11">
        <v>791766.27</v>
      </c>
      <c r="AI22" s="14">
        <f t="shared" si="2"/>
        <v>0.11208565617286045</v>
      </c>
      <c r="AK22" s="14">
        <f t="shared" si="3"/>
        <v>0.9548149406974642</v>
      </c>
      <c r="AL22" s="14">
        <f t="shared" si="4"/>
        <v>3.1952531917111393E-2</v>
      </c>
      <c r="AM22" s="14">
        <f t="shared" si="5"/>
        <v>1.0639547018859304E-2</v>
      </c>
      <c r="AN22" s="14">
        <f t="shared" si="6"/>
        <v>1.1990963656881039E-3</v>
      </c>
      <c r="AO22" s="14">
        <f t="shared" si="7"/>
        <v>5.424137928350726E-4</v>
      </c>
      <c r="AP22" s="14">
        <f t="shared" si="8"/>
        <v>4.2726487917088156E-4</v>
      </c>
      <c r="AQ22" s="14">
        <f t="shared" si="9"/>
        <v>1.690542419191369E-4</v>
      </c>
    </row>
    <row r="23" spans="1:43" x14ac:dyDescent="0.25">
      <c r="A23" s="10">
        <f t="shared" si="12"/>
        <v>19</v>
      </c>
      <c r="B23" s="15">
        <v>41061</v>
      </c>
      <c r="C23" s="10">
        <v>3433</v>
      </c>
      <c r="D23" s="11">
        <v>86925387.989999995</v>
      </c>
      <c r="E23" s="12">
        <f t="shared" si="13"/>
        <v>0.90547251586498279</v>
      </c>
      <c r="F23" s="11">
        <v>326437.03000000003</v>
      </c>
      <c r="G23" s="11"/>
      <c r="H23" s="11"/>
      <c r="I23" s="11"/>
      <c r="J23" s="11"/>
      <c r="K23" s="11"/>
      <c r="L23" s="11"/>
      <c r="M23" s="17">
        <f>IF(F23&gt;0.01,F23,#REF!)/D22</f>
        <v>3.731275499728503E-3</v>
      </c>
      <c r="N23" s="17">
        <f t="shared" si="17"/>
        <v>4.3867759749009472E-2</v>
      </c>
      <c r="O23" s="20">
        <f t="shared" si="18"/>
        <v>3.5442880931997732E-2</v>
      </c>
      <c r="P23" s="20">
        <f t="shared" si="19"/>
        <v>3.1296640141279787E-2</v>
      </c>
      <c r="Q23" s="17">
        <f t="shared" si="20"/>
        <v>3.4898547306792614E-2</v>
      </c>
      <c r="R23" s="11">
        <v>0</v>
      </c>
      <c r="S23" s="18">
        <v>83715872</v>
      </c>
      <c r="T23" s="18">
        <v>2415437</v>
      </c>
      <c r="U23" s="18">
        <v>585036</v>
      </c>
      <c r="V23" s="18">
        <v>114135</v>
      </c>
      <c r="W23" s="18">
        <v>24097</v>
      </c>
      <c r="X23" s="18">
        <v>56295</v>
      </c>
      <c r="Y23" s="18">
        <v>0</v>
      </c>
      <c r="Z23" s="18">
        <f t="shared" si="15"/>
        <v>137686.81</v>
      </c>
      <c r="AA23" s="14">
        <f t="shared" si="16"/>
        <v>1.434237167471329E-3</v>
      </c>
      <c r="AB23" s="11">
        <v>77960955.219999999</v>
      </c>
      <c r="AC23" s="14">
        <f t="shared" si="10"/>
        <v>0.90232587060185188</v>
      </c>
      <c r="AD23" s="13">
        <f t="shared" si="0"/>
        <v>64967462.683333337</v>
      </c>
      <c r="AE23" s="11">
        <v>9600000</v>
      </c>
      <c r="AF23" s="12">
        <f t="shared" si="11"/>
        <v>1</v>
      </c>
      <c r="AG23" s="12">
        <f t="shared" si="1"/>
        <v>0.89687209942587454</v>
      </c>
      <c r="AH23" s="11">
        <v>784724.74</v>
      </c>
      <c r="AI23" s="14">
        <f t="shared" si="2"/>
        <v>0.1121554672970979</v>
      </c>
      <c r="AK23" s="14">
        <f t="shared" si="3"/>
        <v>0.96307734639770348</v>
      </c>
      <c r="AL23" s="14">
        <f t="shared" si="4"/>
        <v>2.7787474474981633E-2</v>
      </c>
      <c r="AM23" s="14">
        <f t="shared" si="5"/>
        <v>6.7303237124153332E-3</v>
      </c>
      <c r="AN23" s="14">
        <f t="shared" si="6"/>
        <v>1.3130226121410035E-3</v>
      </c>
      <c r="AO23" s="14">
        <f t="shared" si="7"/>
        <v>2.7721475344777462E-4</v>
      </c>
      <c r="AP23" s="14">
        <f t="shared" si="8"/>
        <v>6.476243742101703E-4</v>
      </c>
      <c r="AQ23" s="14">
        <f t="shared" si="9"/>
        <v>0</v>
      </c>
    </row>
    <row r="24" spans="1:43" x14ac:dyDescent="0.25">
      <c r="A24" s="10">
        <f t="shared" si="12"/>
        <v>20</v>
      </c>
      <c r="B24" s="15">
        <v>41091</v>
      </c>
      <c r="C24" s="10">
        <v>3427</v>
      </c>
      <c r="D24" s="11">
        <v>86566892.689999998</v>
      </c>
      <c r="E24" s="12">
        <f t="shared" si="13"/>
        <v>0.90173819096034036</v>
      </c>
      <c r="F24" s="11">
        <v>130676.53</v>
      </c>
      <c r="G24" s="11"/>
      <c r="H24" s="11"/>
      <c r="I24" s="11"/>
      <c r="J24" s="11"/>
      <c r="K24" s="11"/>
      <c r="L24" s="11"/>
      <c r="M24" s="17">
        <f>IF(F24&gt;0.01,F24,#REF!)/D23</f>
        <v>1.5033183402647934E-3</v>
      </c>
      <c r="N24" s="17">
        <f t="shared" si="17"/>
        <v>1.7891407241583224E-2</v>
      </c>
      <c r="O24" s="20">
        <f t="shared" si="18"/>
        <v>3.1324445282730339E-2</v>
      </c>
      <c r="P24" s="20">
        <f t="shared" si="19"/>
        <v>2.9691065399321832E-2</v>
      </c>
      <c r="Q24" s="17">
        <f t="shared" si="20"/>
        <v>3.2972640186110284E-2</v>
      </c>
      <c r="R24" s="11">
        <v>1449140.25</v>
      </c>
      <c r="S24" s="18">
        <v>82926965</v>
      </c>
      <c r="T24" s="18">
        <v>2797446</v>
      </c>
      <c r="U24" s="18">
        <v>739198</v>
      </c>
      <c r="V24" s="18">
        <v>32936</v>
      </c>
      <c r="W24" s="18">
        <v>14053</v>
      </c>
      <c r="X24" s="18">
        <v>37380</v>
      </c>
      <c r="Y24" s="45">
        <v>18915.11</v>
      </c>
      <c r="Z24" s="18">
        <f t="shared" si="15"/>
        <v>156601.91999999998</v>
      </c>
      <c r="AA24" s="14">
        <f t="shared" si="16"/>
        <v>1.6312695033124207E-3</v>
      </c>
      <c r="AB24" s="11">
        <v>76442944.170000002</v>
      </c>
      <c r="AC24" s="14">
        <f t="shared" si="10"/>
        <v>0.88475629826388891</v>
      </c>
      <c r="AD24" s="13">
        <f t="shared" si="0"/>
        <v>63702453.475000001</v>
      </c>
      <c r="AE24" s="11">
        <v>9600000</v>
      </c>
      <c r="AF24" s="12">
        <f t="shared" si="11"/>
        <v>1</v>
      </c>
      <c r="AG24" s="12">
        <f t="shared" si="1"/>
        <v>0.88305057273738219</v>
      </c>
      <c r="AH24" s="11">
        <v>799609.55</v>
      </c>
      <c r="AI24" s="14">
        <f t="shared" si="2"/>
        <v>0.12618632517072959</v>
      </c>
      <c r="AK24" s="14">
        <f t="shared" si="3"/>
        <v>0.9579524275748843</v>
      </c>
      <c r="AL24" s="14">
        <f t="shared" si="4"/>
        <v>3.2315425829338496E-2</v>
      </c>
      <c r="AM24" s="14">
        <f t="shared" si="5"/>
        <v>8.539038159162092E-3</v>
      </c>
      <c r="AN24" s="14">
        <f t="shared" si="6"/>
        <v>3.8046877942061894E-4</v>
      </c>
      <c r="AO24" s="14">
        <f t="shared" si="7"/>
        <v>1.6233688842597638E-4</v>
      </c>
      <c r="AP24" s="14">
        <f t="shared" si="8"/>
        <v>4.3180480248793834E-4</v>
      </c>
      <c r="AQ24" s="14">
        <f t="shared" si="9"/>
        <v>2.1850281802000073E-4</v>
      </c>
    </row>
    <row r="25" spans="1:43" x14ac:dyDescent="0.25">
      <c r="A25" s="10">
        <f t="shared" si="12"/>
        <v>21</v>
      </c>
      <c r="B25" s="15">
        <v>41122</v>
      </c>
      <c r="C25" s="10">
        <v>3420</v>
      </c>
      <c r="D25" s="11">
        <v>86194336.189999998</v>
      </c>
      <c r="E25" s="12">
        <f t="shared" si="13"/>
        <v>0.89785739526696173</v>
      </c>
      <c r="F25" s="11">
        <v>147685.95000000001</v>
      </c>
      <c r="G25" s="11"/>
      <c r="H25" s="11"/>
      <c r="I25" s="11"/>
      <c r="J25" s="11"/>
      <c r="K25" s="11"/>
      <c r="L25" s="11"/>
      <c r="M25" s="17">
        <f>IF(F25&gt;0.01,F25,#REF!)/D24</f>
        <v>1.7060327038521546E-3</v>
      </c>
      <c r="N25" s="17">
        <f t="shared" si="17"/>
        <v>2.0281384531307012E-2</v>
      </c>
      <c r="O25" s="20">
        <f t="shared" si="18"/>
        <v>2.7346850507299902E-2</v>
      </c>
      <c r="P25" s="20">
        <f t="shared" si="19"/>
        <v>2.6082751783036151E-2</v>
      </c>
      <c r="Q25" s="17">
        <f t="shared" si="20"/>
        <v>3.1559267688461047E-2</v>
      </c>
      <c r="R25" s="11">
        <v>0</v>
      </c>
      <c r="S25" s="18">
        <v>82975416</v>
      </c>
      <c r="T25" s="18">
        <v>2363114</v>
      </c>
      <c r="U25" s="18">
        <v>725564</v>
      </c>
      <c r="V25" s="18">
        <v>92862</v>
      </c>
      <c r="W25" s="18">
        <v>0</v>
      </c>
      <c r="X25" s="18">
        <v>0</v>
      </c>
      <c r="Y25" s="45">
        <v>37379.699999999997</v>
      </c>
      <c r="Z25" s="18">
        <f t="shared" si="15"/>
        <v>193981.62</v>
      </c>
      <c r="AA25" s="14">
        <f t="shared" si="16"/>
        <v>2.0206412597568329E-3</v>
      </c>
      <c r="AB25" s="11">
        <v>76120832.640000001</v>
      </c>
      <c r="AC25" s="14">
        <f t="shared" si="10"/>
        <v>0.88102815555555558</v>
      </c>
      <c r="AD25" s="13">
        <f t="shared" si="0"/>
        <v>63434027.200000003</v>
      </c>
      <c r="AE25" s="11">
        <v>9600000</v>
      </c>
      <c r="AF25" s="12">
        <f t="shared" si="11"/>
        <v>1</v>
      </c>
      <c r="AG25" s="12">
        <f t="shared" si="1"/>
        <v>0.88313033088630366</v>
      </c>
      <c r="AH25" s="11">
        <v>764429.44</v>
      </c>
      <c r="AI25" s="14">
        <f t="shared" si="2"/>
        <v>0.12573834278518844</v>
      </c>
      <c r="AK25" s="14">
        <f t="shared" si="3"/>
        <v>0.96265508463451166</v>
      </c>
      <c r="AL25" s="14">
        <f t="shared" si="4"/>
        <v>2.7416116933610787E-2</v>
      </c>
      <c r="AM25" s="14">
        <f t="shared" si="5"/>
        <v>8.4177688705743253E-3</v>
      </c>
      <c r="AN25" s="14">
        <f t="shared" si="6"/>
        <v>1.0773561710052772E-3</v>
      </c>
      <c r="AO25" s="14">
        <f t="shared" si="7"/>
        <v>0</v>
      </c>
      <c r="AP25" s="14">
        <f t="shared" si="8"/>
        <v>0</v>
      </c>
      <c r="AQ25" s="14">
        <f t="shared" si="9"/>
        <v>4.3366770546968575E-4</v>
      </c>
    </row>
    <row r="26" spans="1:43" x14ac:dyDescent="0.25">
      <c r="A26" s="10">
        <f t="shared" si="12"/>
        <v>22</v>
      </c>
      <c r="B26" s="23">
        <v>41164</v>
      </c>
      <c r="C26" s="10">
        <v>3410</v>
      </c>
      <c r="D26" s="11">
        <v>85784780.299999997</v>
      </c>
      <c r="E26" s="12">
        <f t="shared" si="13"/>
        <v>0.89359118937843263</v>
      </c>
      <c r="F26" s="11">
        <v>168062.64</v>
      </c>
      <c r="G26" s="11"/>
      <c r="H26" s="11"/>
      <c r="I26" s="11"/>
      <c r="J26" s="11"/>
      <c r="K26" s="11"/>
      <c r="L26" s="11"/>
      <c r="M26" s="17">
        <f>IF(F26&gt;0.01,F26,#REF!)/D25</f>
        <v>1.9498107118028729E-3</v>
      </c>
      <c r="N26" s="17">
        <f t="shared" ref="N26:N32" si="21">1-(+M26-1)^12</f>
        <v>2.3148435927390576E-2</v>
      </c>
      <c r="O26" s="20">
        <f t="shared" si="18"/>
        <v>2.0440409233426937E-2</v>
      </c>
      <c r="P26" s="20">
        <f t="shared" ref="P26:P32" si="22">AVERAGE(N21:N26)</f>
        <v>2.7941645082712335E-2</v>
      </c>
      <c r="Q26" s="17">
        <f t="shared" si="20"/>
        <v>2.9176372991589723E-2</v>
      </c>
      <c r="R26" s="11">
        <v>0</v>
      </c>
      <c r="S26" s="18">
        <v>82591646</v>
      </c>
      <c r="T26" s="18">
        <v>2457914</v>
      </c>
      <c r="U26" s="18">
        <v>625932</v>
      </c>
      <c r="V26" s="18">
        <v>25428</v>
      </c>
      <c r="W26" s="18">
        <v>22384</v>
      </c>
      <c r="X26" s="18">
        <v>24097</v>
      </c>
      <c r="Y26" s="11">
        <v>0</v>
      </c>
      <c r="Z26" s="18">
        <v>193981.62</v>
      </c>
      <c r="AA26" s="14">
        <f t="shared" si="16"/>
        <v>2.0206412597568329E-3</v>
      </c>
      <c r="AB26" s="11">
        <v>75770530.890000001</v>
      </c>
      <c r="AC26" s="14">
        <f t="shared" si="10"/>
        <v>0.87697373715277782</v>
      </c>
      <c r="AD26" s="13">
        <f t="shared" si="0"/>
        <v>63142109.075000003</v>
      </c>
      <c r="AE26" s="11">
        <v>9600000</v>
      </c>
      <c r="AF26" s="12">
        <f t="shared" si="11"/>
        <v>1</v>
      </c>
      <c r="AG26" s="12">
        <f t="shared" si="1"/>
        <v>0.88326309894390442</v>
      </c>
      <c r="AH26" s="11">
        <v>761208.33</v>
      </c>
      <c r="AI26" s="14">
        <f t="shared" si="2"/>
        <v>0.12561036704083037</v>
      </c>
      <c r="AK26" s="14">
        <f t="shared" si="3"/>
        <v>0.96277737975392363</v>
      </c>
      <c r="AL26" s="14">
        <f t="shared" si="4"/>
        <v>2.8652098791934543E-2</v>
      </c>
      <c r="AM26" s="14">
        <f t="shared" si="5"/>
        <v>7.2965390575232382E-3</v>
      </c>
      <c r="AN26" s="14">
        <f t="shared" si="6"/>
        <v>2.9641621638564717E-4</v>
      </c>
      <c r="AO26" s="14">
        <f t="shared" si="7"/>
        <v>2.6093206652415941E-4</v>
      </c>
      <c r="AP26" s="14">
        <f t="shared" si="8"/>
        <v>2.8090064363083764E-4</v>
      </c>
      <c r="AQ26" s="14">
        <f t="shared" si="9"/>
        <v>0</v>
      </c>
    </row>
    <row r="27" spans="1:43" x14ac:dyDescent="0.25">
      <c r="A27" s="10">
        <f t="shared" si="12"/>
        <v>23</v>
      </c>
      <c r="B27" s="15">
        <v>41183</v>
      </c>
      <c r="C27" s="10">
        <v>3393</v>
      </c>
      <c r="D27" s="11">
        <v>85154574.319999993</v>
      </c>
      <c r="E27" s="12">
        <f t="shared" si="13"/>
        <v>0.88702654575222972</v>
      </c>
      <c r="F27" s="11">
        <v>409609.82</v>
      </c>
      <c r="G27" s="11"/>
      <c r="H27" s="11"/>
      <c r="I27" s="11"/>
      <c r="J27" s="11"/>
      <c r="K27" s="11"/>
      <c r="L27" s="11"/>
      <c r="M27" s="17">
        <f>IF(F27&gt;0.01,F27,#REF!)/D26</f>
        <v>4.7748542173511868E-3</v>
      </c>
      <c r="N27" s="17">
        <f t="shared" si="21"/>
        <v>5.5817195757796756E-2</v>
      </c>
      <c r="O27" s="20">
        <f t="shared" si="18"/>
        <v>3.308233873883145E-2</v>
      </c>
      <c r="P27" s="20">
        <f t="shared" si="22"/>
        <v>3.2203392010780894E-2</v>
      </c>
      <c r="Q27" s="17">
        <f t="shared" si="20"/>
        <v>3.0624050130992231E-2</v>
      </c>
      <c r="R27" s="11">
        <v>0</v>
      </c>
      <c r="S27" s="18">
        <v>81348111</v>
      </c>
      <c r="T27" s="18">
        <v>3015342</v>
      </c>
      <c r="U27" s="18">
        <v>692439</v>
      </c>
      <c r="V27" s="18">
        <v>38919</v>
      </c>
      <c r="W27" s="18">
        <v>0</v>
      </c>
      <c r="X27" s="18">
        <v>0</v>
      </c>
      <c r="Y27" s="11">
        <v>22384.1</v>
      </c>
      <c r="Z27" s="18">
        <f>+Z26+Y27</f>
        <v>216365.72</v>
      </c>
      <c r="AA27" s="14">
        <f t="shared" si="16"/>
        <v>2.2538088970954786E-3</v>
      </c>
      <c r="AB27" s="11">
        <v>75224315.099999994</v>
      </c>
      <c r="AC27" s="14">
        <f t="shared" si="10"/>
        <v>0.8706517951388888</v>
      </c>
      <c r="AD27" s="13">
        <f t="shared" si="0"/>
        <v>62686929.25</v>
      </c>
      <c r="AE27" s="11">
        <v>9600000</v>
      </c>
      <c r="AF27" s="12">
        <f t="shared" si="11"/>
        <v>1</v>
      </c>
      <c r="AG27" s="12">
        <f t="shared" si="1"/>
        <v>0.88338548693011654</v>
      </c>
      <c r="AH27" s="11">
        <v>757705.31</v>
      </c>
      <c r="AI27" s="14">
        <f t="shared" si="2"/>
        <v>0.12551251198597974</v>
      </c>
      <c r="AK27" s="14">
        <f t="shared" si="3"/>
        <v>0.95529936764529189</v>
      </c>
      <c r="AL27" s="14">
        <f t="shared" si="4"/>
        <v>3.5410217525939716E-2</v>
      </c>
      <c r="AM27" s="14">
        <f t="shared" si="5"/>
        <v>8.1315537718256083E-3</v>
      </c>
      <c r="AN27" s="14">
        <f t="shared" si="6"/>
        <v>4.5703945220543733E-4</v>
      </c>
      <c r="AO27" s="14">
        <f t="shared" si="7"/>
        <v>0</v>
      </c>
      <c r="AP27" s="14">
        <f t="shared" si="8"/>
        <v>0</v>
      </c>
      <c r="AQ27" s="14">
        <f t="shared" si="9"/>
        <v>2.6286432853135308E-4</v>
      </c>
    </row>
    <row r="28" spans="1:43" x14ac:dyDescent="0.25">
      <c r="A28" s="10">
        <f t="shared" si="12"/>
        <v>24</v>
      </c>
      <c r="B28" s="15">
        <v>41214</v>
      </c>
      <c r="C28" s="10">
        <v>3380</v>
      </c>
      <c r="D28" s="11">
        <v>84571655.049999997</v>
      </c>
      <c r="E28" s="12">
        <f t="shared" si="13"/>
        <v>0.88095447187188314</v>
      </c>
      <c r="F28" s="11">
        <v>297337.53999999998</v>
      </c>
      <c r="G28" s="11"/>
      <c r="H28" s="11"/>
      <c r="I28" s="11"/>
      <c r="J28" s="11"/>
      <c r="K28" s="11"/>
      <c r="L28" s="11"/>
      <c r="M28" s="17">
        <f>IF(F28&gt;0.01,F28,#REF!)/D27</f>
        <v>3.4917389039212801E-3</v>
      </c>
      <c r="N28" s="17">
        <f t="shared" si="21"/>
        <v>4.1105471663095083E-2</v>
      </c>
      <c r="O28" s="20">
        <f t="shared" si="18"/>
        <v>4.0023701116094136E-2</v>
      </c>
      <c r="P28" s="20">
        <f t="shared" si="22"/>
        <v>3.3685275811697023E-2</v>
      </c>
      <c r="Q28" s="17">
        <f t="shared" si="20"/>
        <v>3.3246839065347096E-2</v>
      </c>
      <c r="R28" s="11">
        <v>0</v>
      </c>
      <c r="S28" s="18">
        <v>81552148</v>
      </c>
      <c r="T28" s="18">
        <v>2234295</v>
      </c>
      <c r="U28" s="18">
        <v>654744</v>
      </c>
      <c r="V28" s="18">
        <v>48842</v>
      </c>
      <c r="W28" s="18">
        <v>21863</v>
      </c>
      <c r="X28" s="18">
        <v>0</v>
      </c>
      <c r="Y28" s="11">
        <v>0</v>
      </c>
      <c r="Z28" s="18">
        <f t="shared" ref="Z28:Z43" si="23">+Z27+Y28</f>
        <v>216365.72</v>
      </c>
      <c r="AA28" s="14">
        <f t="shared" si="16"/>
        <v>2.2538088970954786E-3</v>
      </c>
      <c r="AB28" s="11">
        <v>74667908.519999996</v>
      </c>
      <c r="AC28" s="14">
        <f t="shared" si="10"/>
        <v>0.8642119041666666</v>
      </c>
      <c r="AD28" s="13">
        <f t="shared" si="0"/>
        <v>62223257.100000001</v>
      </c>
      <c r="AE28" s="11">
        <v>9600000</v>
      </c>
      <c r="AF28" s="12">
        <f t="shared" si="11"/>
        <v>1</v>
      </c>
      <c r="AG28" s="12">
        <f t="shared" si="1"/>
        <v>0.88289520260488263</v>
      </c>
      <c r="AH28" s="11">
        <v>752343.45</v>
      </c>
      <c r="AI28" s="14">
        <f t="shared" si="2"/>
        <v>0.12600072652829092</v>
      </c>
      <c r="AK28" s="14">
        <f t="shared" si="3"/>
        <v>0.96429646495371502</v>
      </c>
      <c r="AL28" s="14">
        <f t="shared" si="4"/>
        <v>2.6418957967407071E-2</v>
      </c>
      <c r="AM28" s="14">
        <f t="shared" si="5"/>
        <v>7.741884672978267E-3</v>
      </c>
      <c r="AN28" s="14">
        <f t="shared" si="6"/>
        <v>5.7752210206982342E-4</v>
      </c>
      <c r="AO28" s="14">
        <f t="shared" si="7"/>
        <v>2.5851451041219753E-4</v>
      </c>
      <c r="AP28" s="14">
        <f t="shared" si="8"/>
        <v>0</v>
      </c>
      <c r="AQ28" s="14">
        <f t="shared" si="9"/>
        <v>0</v>
      </c>
    </row>
    <row r="29" spans="1:43" x14ac:dyDescent="0.25">
      <c r="A29" s="10">
        <f t="shared" si="12"/>
        <v>25</v>
      </c>
      <c r="B29" s="15">
        <v>41244</v>
      </c>
      <c r="C29" s="10">
        <v>3366</v>
      </c>
      <c r="D29" s="11">
        <v>84041943.680000007</v>
      </c>
      <c r="E29" s="12">
        <f t="shared" si="13"/>
        <v>0.87543664678111266</v>
      </c>
      <c r="F29" s="11">
        <v>320103</v>
      </c>
      <c r="G29" s="11"/>
      <c r="H29" s="11"/>
      <c r="I29" s="11"/>
      <c r="J29" s="11"/>
      <c r="K29" s="11"/>
      <c r="L29" s="11"/>
      <c r="M29" s="17">
        <f>IF(F29&gt;0.01,F29,#REF!)/D28</f>
        <v>3.7849915531480427E-3</v>
      </c>
      <c r="N29" s="17">
        <f t="shared" si="21"/>
        <v>4.4486200394966313E-2</v>
      </c>
      <c r="O29" s="20">
        <f t="shared" si="18"/>
        <v>4.7136289271952715E-2</v>
      </c>
      <c r="P29" s="20">
        <f t="shared" si="22"/>
        <v>3.378834925268983E-2</v>
      </c>
      <c r="Q29" s="17">
        <f t="shared" si="20"/>
        <v>3.2542494696984808E-2</v>
      </c>
      <c r="R29" s="11">
        <v>0</v>
      </c>
      <c r="S29" s="18">
        <v>80538458</v>
      </c>
      <c r="T29" s="18">
        <v>2644730</v>
      </c>
      <c r="U29" s="18">
        <v>686084</v>
      </c>
      <c r="V29" s="18">
        <v>66300</v>
      </c>
      <c r="W29" s="18">
        <v>24745</v>
      </c>
      <c r="X29" s="18">
        <v>21863</v>
      </c>
      <c r="Y29" s="11">
        <v>0</v>
      </c>
      <c r="Z29" s="18">
        <f t="shared" si="23"/>
        <v>216365.72</v>
      </c>
      <c r="AA29" s="14">
        <f t="shared" si="16"/>
        <v>2.2538088970954786E-3</v>
      </c>
      <c r="AB29" s="11">
        <v>74199000.310000002</v>
      </c>
      <c r="AC29" s="14">
        <f t="shared" si="10"/>
        <v>0.85878472581018517</v>
      </c>
      <c r="AD29" s="13">
        <f t="shared" si="0"/>
        <v>61832500.25833334</v>
      </c>
      <c r="AE29" s="11">
        <v>9600000</v>
      </c>
      <c r="AF29" s="12">
        <f t="shared" si="11"/>
        <v>1</v>
      </c>
      <c r="AG29" s="12">
        <f t="shared" si="1"/>
        <v>0.88288058392035507</v>
      </c>
      <c r="AH29" s="11">
        <v>746679.09</v>
      </c>
      <c r="AI29" s="14">
        <f t="shared" si="2"/>
        <v>0.12600401652205109</v>
      </c>
      <c r="AK29" s="14">
        <f t="shared" si="3"/>
        <v>0.95831265286605039</v>
      </c>
      <c r="AL29" s="14">
        <f t="shared" si="4"/>
        <v>3.1469167467974485E-2</v>
      </c>
      <c r="AM29" s="14">
        <f t="shared" si="5"/>
        <v>8.1635903449871275E-3</v>
      </c>
      <c r="AN29" s="14">
        <f t="shared" si="6"/>
        <v>7.8889179732022103E-4</v>
      </c>
      <c r="AO29" s="14">
        <f t="shared" si="7"/>
        <v>2.9443631258957572E-4</v>
      </c>
      <c r="AP29" s="14">
        <f t="shared" si="8"/>
        <v>2.6014391198811454E-4</v>
      </c>
      <c r="AQ29" s="14">
        <f t="shared" si="9"/>
        <v>0</v>
      </c>
    </row>
    <row r="30" spans="1:43" x14ac:dyDescent="0.25">
      <c r="A30" s="10">
        <f t="shared" si="12"/>
        <v>26</v>
      </c>
      <c r="B30" s="15">
        <v>41275</v>
      </c>
      <c r="C30" s="10">
        <v>3350</v>
      </c>
      <c r="D30" s="11">
        <v>83463933.200000003</v>
      </c>
      <c r="E30" s="12">
        <f t="shared" si="13"/>
        <v>0.8694157061143637</v>
      </c>
      <c r="F30" s="11">
        <v>339977.35</v>
      </c>
      <c r="G30" s="11"/>
      <c r="H30" s="11"/>
      <c r="I30" s="11"/>
      <c r="J30" s="11"/>
      <c r="K30" s="11"/>
      <c r="L30" s="11"/>
      <c r="M30" s="17">
        <f>IF(F30&gt;0.01,F30,#REF!)/D29</f>
        <v>4.0453294523328182E-3</v>
      </c>
      <c r="N30" s="17">
        <f t="shared" si="21"/>
        <v>4.7478316278572907E-2</v>
      </c>
      <c r="O30" s="20">
        <f t="shared" si="18"/>
        <v>4.4356662778878099E-2</v>
      </c>
      <c r="P30" s="20">
        <f t="shared" si="22"/>
        <v>3.8719500758854775E-2</v>
      </c>
      <c r="Q30" s="17">
        <f t="shared" si="20"/>
        <v>3.4205283079088301E-2</v>
      </c>
      <c r="R30" s="11">
        <v>1351350.73</v>
      </c>
      <c r="S30" s="18">
        <v>80240061</v>
      </c>
      <c r="T30" s="18">
        <v>2339324</v>
      </c>
      <c r="U30" s="18">
        <v>726359</v>
      </c>
      <c r="V30" s="18">
        <v>76562</v>
      </c>
      <c r="W30" s="18">
        <v>0</v>
      </c>
      <c r="X30" s="18">
        <v>0</v>
      </c>
      <c r="Y30" s="11">
        <v>21862.76</v>
      </c>
      <c r="Z30" s="18">
        <f t="shared" si="23"/>
        <v>238228.48000000001</v>
      </c>
      <c r="AA30" s="14">
        <f t="shared" si="16"/>
        <v>2.4815459110876358E-3</v>
      </c>
      <c r="AB30" s="11">
        <v>72717722.290000007</v>
      </c>
      <c r="AC30" s="14">
        <f t="shared" si="10"/>
        <v>0.84164030428240744</v>
      </c>
      <c r="AD30" s="13">
        <f t="shared" si="0"/>
        <v>60598101.908333339</v>
      </c>
      <c r="AE30" s="11">
        <v>9600000</v>
      </c>
      <c r="AF30" s="12">
        <f t="shared" si="11"/>
        <v>1</v>
      </c>
      <c r="AG30" s="12">
        <f t="shared" si="1"/>
        <v>0.87124725018350802</v>
      </c>
      <c r="AH30" s="11">
        <v>741990</v>
      </c>
      <c r="AI30" s="14">
        <f t="shared" si="2"/>
        <v>0.1376426975046989</v>
      </c>
      <c r="AK30" s="14">
        <f t="shared" si="3"/>
        <v>0.96137406809867421</v>
      </c>
      <c r="AL30" s="14">
        <f t="shared" si="4"/>
        <v>2.8027962621823818E-2</v>
      </c>
      <c r="AM30" s="14">
        <f t="shared" si="5"/>
        <v>8.7026691907684979E-3</v>
      </c>
      <c r="AN30" s="14">
        <f t="shared" si="6"/>
        <v>9.173063988793665E-4</v>
      </c>
      <c r="AO30" s="14">
        <f t="shared" si="7"/>
        <v>0</v>
      </c>
      <c r="AP30" s="14">
        <f t="shared" si="8"/>
        <v>0</v>
      </c>
      <c r="AQ30" s="14">
        <f t="shared" si="9"/>
        <v>2.6194260397016607E-4</v>
      </c>
    </row>
    <row r="31" spans="1:43" x14ac:dyDescent="0.25">
      <c r="A31" s="10">
        <f t="shared" si="12"/>
        <v>27</v>
      </c>
      <c r="B31" s="15">
        <v>41306</v>
      </c>
      <c r="C31" s="10">
        <v>3337</v>
      </c>
      <c r="D31" s="11">
        <v>82977130.180000007</v>
      </c>
      <c r="E31" s="12">
        <f t="shared" si="13"/>
        <v>0.86434484286666924</v>
      </c>
      <c r="F31" s="11">
        <v>242936.93</v>
      </c>
      <c r="G31" s="11"/>
      <c r="H31" s="11"/>
      <c r="I31" s="11"/>
      <c r="J31" s="11"/>
      <c r="K31" s="11"/>
      <c r="L31" s="11"/>
      <c r="M31" s="17">
        <f>IF(F31&gt;0.01,F31,#REF!)/D30</f>
        <v>2.9106815445404865E-3</v>
      </c>
      <c r="N31" s="17">
        <f t="shared" si="21"/>
        <v>3.4374411832388541E-2</v>
      </c>
      <c r="O31" s="20">
        <f t="shared" si="18"/>
        <v>4.2112976168642589E-2</v>
      </c>
      <c r="P31" s="20">
        <f t="shared" si="22"/>
        <v>4.1068338642368363E-2</v>
      </c>
      <c r="Q31" s="17">
        <f t="shared" si="20"/>
        <v>3.3575545212702257E-2</v>
      </c>
      <c r="R31" s="11">
        <v>0</v>
      </c>
      <c r="S31" s="18">
        <v>80012269</v>
      </c>
      <c r="T31" s="18">
        <v>2121396</v>
      </c>
      <c r="U31" s="18">
        <v>574653</v>
      </c>
      <c r="V31" s="18">
        <v>138343</v>
      </c>
      <c r="W31" s="18">
        <v>24745</v>
      </c>
      <c r="X31" s="18">
        <v>24097</v>
      </c>
      <c r="Y31" s="11">
        <v>0</v>
      </c>
      <c r="Z31" s="18">
        <f t="shared" si="23"/>
        <v>238228.48000000001</v>
      </c>
      <c r="AA31" s="14">
        <f t="shared" si="16"/>
        <v>2.4815459110876358E-3</v>
      </c>
      <c r="AB31" s="11">
        <v>72279599.569999993</v>
      </c>
      <c r="AC31" s="14">
        <f t="shared" si="10"/>
        <v>0.83656943946759255</v>
      </c>
      <c r="AD31" s="13">
        <f t="shared" si="0"/>
        <v>60232999.641666666</v>
      </c>
      <c r="AE31" s="11">
        <v>9600000</v>
      </c>
      <c r="AF31" s="12">
        <f t="shared" si="11"/>
        <v>1</v>
      </c>
      <c r="AG31" s="12">
        <f t="shared" si="1"/>
        <v>0.87107856602422673</v>
      </c>
      <c r="AH31" s="11">
        <v>727177.22</v>
      </c>
      <c r="AI31" s="14">
        <f t="shared" si="2"/>
        <v>0.13768502001957297</v>
      </c>
      <c r="AK31" s="14">
        <f t="shared" si="3"/>
        <v>0.96426893562637783</v>
      </c>
      <c r="AL31" s="14">
        <f t="shared" si="4"/>
        <v>2.5566032416379236E-2</v>
      </c>
      <c r="AM31" s="14">
        <f t="shared" si="5"/>
        <v>6.9254383557664752E-3</v>
      </c>
      <c r="AN31" s="14">
        <f t="shared" si="6"/>
        <v>1.6672425245353307E-3</v>
      </c>
      <c r="AO31" s="14">
        <f t="shared" si="7"/>
        <v>2.9821470019897474E-4</v>
      </c>
      <c r="AP31" s="14">
        <f t="shared" si="8"/>
        <v>2.9040531948655059E-4</v>
      </c>
      <c r="AQ31" s="14">
        <f t="shared" si="9"/>
        <v>0</v>
      </c>
    </row>
    <row r="32" spans="1:43" x14ac:dyDescent="0.25">
      <c r="A32" s="10">
        <f t="shared" si="12"/>
        <v>28</v>
      </c>
      <c r="B32" s="15">
        <v>41334</v>
      </c>
      <c r="C32" s="10">
        <v>3324</v>
      </c>
      <c r="D32" s="11">
        <v>82479506.25</v>
      </c>
      <c r="E32" s="12">
        <f t="shared" si="13"/>
        <v>0.85916126184079489</v>
      </c>
      <c r="F32" s="11">
        <v>305481.09000000003</v>
      </c>
      <c r="G32" s="11"/>
      <c r="H32" s="11"/>
      <c r="I32" s="11"/>
      <c r="J32" s="11"/>
      <c r="K32" s="11"/>
      <c r="L32" s="11"/>
      <c r="M32" s="17">
        <f>IF(F32&gt;0.01,F32,#REF!)/D31</f>
        <v>3.6815094633584977E-3</v>
      </c>
      <c r="N32" s="17">
        <f t="shared" si="21"/>
        <v>4.3294468800106012E-2</v>
      </c>
      <c r="O32" s="20">
        <f t="shared" si="18"/>
        <v>4.1715732303689156E-2</v>
      </c>
      <c r="P32" s="20">
        <f t="shared" si="22"/>
        <v>4.4426010787820935E-2</v>
      </c>
      <c r="Q32" s="17">
        <f t="shared" si="20"/>
        <v>3.6183827935266637E-2</v>
      </c>
      <c r="R32" s="11">
        <v>0</v>
      </c>
      <c r="S32" s="18">
        <v>78778837</v>
      </c>
      <c r="T32" s="18">
        <v>2570702</v>
      </c>
      <c r="U32" s="18">
        <v>897220</v>
      </c>
      <c r="V32" s="18">
        <v>58298</v>
      </c>
      <c r="W32" s="18">
        <v>43981</v>
      </c>
      <c r="X32" s="18">
        <v>24745</v>
      </c>
      <c r="Y32" s="11">
        <f>31500</f>
        <v>31500</v>
      </c>
      <c r="Z32" s="18">
        <f t="shared" si="23"/>
        <v>269728.48</v>
      </c>
      <c r="AA32" s="14">
        <f t="shared" si="16"/>
        <v>2.809670811180439E-3</v>
      </c>
      <c r="AB32" s="11">
        <v>71843541.879999995</v>
      </c>
      <c r="AC32" s="14">
        <f t="shared" si="10"/>
        <v>0.83152247546296287</v>
      </c>
      <c r="AD32" s="13">
        <f t="shared" si="0"/>
        <v>59869618.233333334</v>
      </c>
      <c r="AE32" s="11">
        <v>9600000</v>
      </c>
      <c r="AF32" s="12">
        <f t="shared" si="11"/>
        <v>1</v>
      </c>
      <c r="AG32" s="12">
        <f t="shared" si="1"/>
        <v>0.87104718670645531</v>
      </c>
      <c r="AH32" s="11">
        <v>722796</v>
      </c>
      <c r="AI32" s="14">
        <f t="shared" si="2"/>
        <v>0.13771615382336269</v>
      </c>
      <c r="AK32" s="14">
        <f t="shared" si="3"/>
        <v>0.95513225747517128</v>
      </c>
      <c r="AL32" s="14">
        <f t="shared" si="4"/>
        <v>3.1167766598990763E-2</v>
      </c>
      <c r="AM32" s="14">
        <f t="shared" si="5"/>
        <v>1.0878096157371214E-2</v>
      </c>
      <c r="AN32" s="14">
        <f t="shared" si="6"/>
        <v>7.0681800426030067E-4</v>
      </c>
      <c r="AO32" s="14">
        <f t="shared" si="7"/>
        <v>5.3323549084655195E-4</v>
      </c>
      <c r="AP32" s="14">
        <f t="shared" si="8"/>
        <v>3.0001392012455214E-4</v>
      </c>
      <c r="AQ32" s="14">
        <f t="shared" si="9"/>
        <v>3.8191305249235774E-4</v>
      </c>
    </row>
    <row r="33" spans="1:43" x14ac:dyDescent="0.25">
      <c r="A33" s="10">
        <f t="shared" si="12"/>
        <v>29</v>
      </c>
      <c r="B33" s="15">
        <v>41365</v>
      </c>
      <c r="C33" s="10">
        <v>3307</v>
      </c>
      <c r="D33" s="11">
        <v>81824300</v>
      </c>
      <c r="E33" s="12">
        <f t="shared" ref="E33" si="24">+D33/D$4</f>
        <v>0.85233619881471778</v>
      </c>
      <c r="F33" s="11">
        <v>406748.21</v>
      </c>
      <c r="G33" s="11"/>
      <c r="H33" s="11"/>
      <c r="I33" s="11"/>
      <c r="J33" s="11"/>
      <c r="K33" s="11"/>
      <c r="L33" s="11"/>
      <c r="M33" s="17">
        <f>IF(F33&gt;0.01,F33,#REF!)/D32</f>
        <v>4.9315063643461136E-3</v>
      </c>
      <c r="N33" s="17">
        <f t="shared" ref="N33" si="25">1-(+M33-1)^12</f>
        <v>5.7599067335431076E-2</v>
      </c>
      <c r="O33" s="20">
        <f t="shared" si="18"/>
        <v>4.5089315989308543E-2</v>
      </c>
      <c r="P33" s="20">
        <f t="shared" ref="P33" si="26">AVERAGE(N28:N33)</f>
        <v>4.4722989384093324E-2</v>
      </c>
      <c r="Q33" s="17">
        <f t="shared" si="20"/>
        <v>3.8463190697437109E-2</v>
      </c>
      <c r="R33" s="11">
        <v>0</v>
      </c>
      <c r="S33" s="18">
        <v>78173228</v>
      </c>
      <c r="T33" s="18">
        <v>2780337</v>
      </c>
      <c r="U33" s="18">
        <v>552145</v>
      </c>
      <c r="V33" s="18">
        <v>188152</v>
      </c>
      <c r="W33" s="18">
        <v>24715</v>
      </c>
      <c r="X33" s="18">
        <v>0</v>
      </c>
      <c r="Y33" s="11">
        <v>0</v>
      </c>
      <c r="Z33" s="18">
        <f t="shared" si="23"/>
        <v>269728.48</v>
      </c>
      <c r="AA33" s="14">
        <f t="shared" si="16"/>
        <v>2.809670811180439E-3</v>
      </c>
      <c r="AB33" s="11">
        <v>70807695.510000005</v>
      </c>
      <c r="AC33" s="14">
        <f t="shared" si="10"/>
        <v>0.81953351284722231</v>
      </c>
      <c r="AD33" s="13">
        <f t="shared" si="0"/>
        <v>59006412.925000004</v>
      </c>
      <c r="AE33" s="11">
        <v>9600000</v>
      </c>
      <c r="AF33" s="12">
        <f t="shared" si="11"/>
        <v>1</v>
      </c>
      <c r="AG33" s="12">
        <f t="shared" si="1"/>
        <v>0.86536267966850933</v>
      </c>
      <c r="AH33" s="11">
        <v>718435.42</v>
      </c>
      <c r="AI33" s="14">
        <f t="shared" si="2"/>
        <v>0.1434175411216472</v>
      </c>
      <c r="AK33" s="14">
        <f t="shared" si="3"/>
        <v>0.95537912331666752</v>
      </c>
      <c r="AL33" s="14">
        <f t="shared" si="4"/>
        <v>3.3979355765952166E-2</v>
      </c>
      <c r="AM33" s="14">
        <f t="shared" si="5"/>
        <v>6.7479342933578412E-3</v>
      </c>
      <c r="AN33" s="14">
        <f t="shared" si="6"/>
        <v>2.2994636067769597E-3</v>
      </c>
      <c r="AO33" s="14">
        <f t="shared" si="7"/>
        <v>3.0204963562169187E-4</v>
      </c>
      <c r="AP33" s="14">
        <f t="shared" si="8"/>
        <v>0</v>
      </c>
      <c r="AQ33" s="14">
        <f t="shared" si="9"/>
        <v>0</v>
      </c>
    </row>
    <row r="34" spans="1:43" x14ac:dyDescent="0.25">
      <c r="A34" s="10">
        <f t="shared" si="12"/>
        <v>30</v>
      </c>
      <c r="B34" s="15">
        <v>41395</v>
      </c>
      <c r="C34" s="10">
        <v>3286</v>
      </c>
      <c r="D34" s="11">
        <v>81075542.730000004</v>
      </c>
      <c r="E34" s="12">
        <f t="shared" ref="E34:E47" si="27">+D34/D$4</f>
        <v>0.84453664629368574</v>
      </c>
      <c r="F34" s="11">
        <v>511814.53</v>
      </c>
      <c r="G34" s="11"/>
      <c r="H34" s="11"/>
      <c r="I34" s="11"/>
      <c r="J34" s="11"/>
      <c r="K34" s="11"/>
      <c r="L34" s="11"/>
      <c r="M34" s="17">
        <f>IF(F34&gt;0.01,F34,#REF!)/D33</f>
        <v>6.2550431839930197E-3</v>
      </c>
      <c r="N34" s="17">
        <f t="shared" ref="N34:N47" si="28">1-(+M34-1)^12</f>
        <v>7.2531321742225874E-2</v>
      </c>
      <c r="O34" s="20">
        <f t="shared" si="18"/>
        <v>5.7808285959254323E-2</v>
      </c>
      <c r="P34" s="20">
        <f t="shared" ref="P34:P47" si="29">AVERAGE(N29:N34)</f>
        <v>4.9960631063948456E-2</v>
      </c>
      <c r="Q34" s="17">
        <f t="shared" si="20"/>
        <v>4.1822953437822739E-2</v>
      </c>
      <c r="R34" s="11">
        <v>0</v>
      </c>
      <c r="S34" s="18">
        <v>77879444</v>
      </c>
      <c r="T34" s="18">
        <v>2267468</v>
      </c>
      <c r="U34" s="18">
        <v>720461</v>
      </c>
      <c r="V34" s="18">
        <v>85551</v>
      </c>
      <c r="W34" s="18">
        <v>16896</v>
      </c>
      <c r="X34" s="18">
        <v>0</v>
      </c>
      <c r="Y34" s="11">
        <v>0</v>
      </c>
      <c r="Z34" s="18">
        <f t="shared" si="23"/>
        <v>269728.48</v>
      </c>
      <c r="AA34" s="14">
        <f t="shared" si="16"/>
        <v>2.809670811180439E-3</v>
      </c>
      <c r="AB34" s="11">
        <v>70133813.969999999</v>
      </c>
      <c r="AC34" s="14">
        <f t="shared" si="10"/>
        <v>0.81173395798611114</v>
      </c>
      <c r="AD34" s="13">
        <f t="shared" si="0"/>
        <v>58444844.975000001</v>
      </c>
      <c r="AE34" s="11">
        <v>9600000</v>
      </c>
      <c r="AF34" s="12">
        <f t="shared" si="11"/>
        <v>1</v>
      </c>
      <c r="AG34" s="12">
        <f t="shared" si="1"/>
        <v>0.86504279352851887</v>
      </c>
      <c r="AH34" s="11">
        <v>708076.96</v>
      </c>
      <c r="AI34" s="14">
        <f t="shared" si="2"/>
        <v>0.14369075220127112</v>
      </c>
      <c r="AK34" s="14">
        <f t="shared" si="3"/>
        <v>0.96057875627618383</v>
      </c>
      <c r="AL34" s="14">
        <f t="shared" si="4"/>
        <v>2.7967349013637614E-2</v>
      </c>
      <c r="AM34" s="14">
        <f t="shared" si="5"/>
        <v>8.8862926567053521E-3</v>
      </c>
      <c r="AN34" s="14">
        <f t="shared" si="6"/>
        <v>1.055201076912976E-3</v>
      </c>
      <c r="AO34" s="14">
        <f t="shared" si="7"/>
        <v>2.0839823491860575E-4</v>
      </c>
      <c r="AP34" s="14">
        <f t="shared" si="8"/>
        <v>0</v>
      </c>
      <c r="AQ34" s="14">
        <f t="shared" si="9"/>
        <v>0</v>
      </c>
    </row>
    <row r="35" spans="1:43" x14ac:dyDescent="0.25">
      <c r="A35" s="10">
        <f t="shared" si="12"/>
        <v>31</v>
      </c>
      <c r="B35" s="15">
        <v>41426</v>
      </c>
      <c r="C35" s="10">
        <v>3267</v>
      </c>
      <c r="D35" s="11">
        <v>80411153.569999993</v>
      </c>
      <c r="E35" s="12">
        <f t="shared" si="27"/>
        <v>0.83761592798423345</v>
      </c>
      <c r="F35" s="11">
        <v>446151.87</v>
      </c>
      <c r="G35" s="11"/>
      <c r="H35" s="11"/>
      <c r="I35" s="11"/>
      <c r="J35" s="11"/>
      <c r="K35" s="11"/>
      <c r="L35" s="11"/>
      <c r="M35" s="17">
        <f>IF(F35&gt;0.01,F35,#REF!)/D34</f>
        <v>5.5029156139698894E-3</v>
      </c>
      <c r="N35" s="17">
        <f t="shared" si="28"/>
        <v>6.4072580865820017E-2</v>
      </c>
      <c r="O35" s="20">
        <f t="shared" si="18"/>
        <v>6.4734323314492317E-2</v>
      </c>
      <c r="P35" s="20">
        <f t="shared" si="29"/>
        <v>5.322502780909074E-2</v>
      </c>
      <c r="Q35" s="17">
        <f t="shared" si="20"/>
        <v>4.3506688530890285E-2</v>
      </c>
      <c r="R35" s="11">
        <v>0</v>
      </c>
      <c r="S35" s="18">
        <v>77635200</v>
      </c>
      <c r="T35" s="18">
        <v>2192748</v>
      </c>
      <c r="U35" s="18">
        <v>364229</v>
      </c>
      <c r="V35" s="18">
        <v>96358</v>
      </c>
      <c r="W35" s="18">
        <v>0</v>
      </c>
      <c r="X35" s="18">
        <v>16896</v>
      </c>
      <c r="Y35" s="11">
        <v>0</v>
      </c>
      <c r="Z35" s="18">
        <f t="shared" si="23"/>
        <v>269728.48</v>
      </c>
      <c r="AA35" s="14">
        <f t="shared" si="16"/>
        <v>2.809670811180439E-3</v>
      </c>
      <c r="AB35" s="11">
        <v>69535863.730000004</v>
      </c>
      <c r="AC35" s="14">
        <f t="shared" si="10"/>
        <v>0.80481323761574075</v>
      </c>
      <c r="AD35" s="13">
        <f t="shared" si="0"/>
        <v>57946553.108333342</v>
      </c>
      <c r="AE35" s="11">
        <v>9600000</v>
      </c>
      <c r="AF35" s="12">
        <f t="shared" si="11"/>
        <v>1</v>
      </c>
      <c r="AG35" s="12">
        <f t="shared" si="1"/>
        <v>0.86475396313606212</v>
      </c>
      <c r="AH35" s="11">
        <v>701338.14</v>
      </c>
      <c r="AI35" s="14">
        <f t="shared" si="2"/>
        <v>0.14396793810353975</v>
      </c>
      <c r="AK35" s="14">
        <f t="shared" si="3"/>
        <v>0.965478003401811</v>
      </c>
      <c r="AL35" s="14">
        <f t="shared" si="4"/>
        <v>2.7269202127428206E-2</v>
      </c>
      <c r="AM35" s="14">
        <f t="shared" si="5"/>
        <v>4.5295830718673777E-3</v>
      </c>
      <c r="AN35" s="14">
        <f t="shared" si="6"/>
        <v>1.1983163494367465E-3</v>
      </c>
      <c r="AO35" s="14">
        <f t="shared" si="7"/>
        <v>0</v>
      </c>
      <c r="AP35" s="14">
        <f t="shared" si="8"/>
        <v>2.1012010461075645E-4</v>
      </c>
      <c r="AQ35" s="14">
        <f t="shared" si="9"/>
        <v>0</v>
      </c>
    </row>
    <row r="36" spans="1:43" x14ac:dyDescent="0.25">
      <c r="A36" s="10">
        <f t="shared" si="12"/>
        <v>32</v>
      </c>
      <c r="B36" s="15">
        <v>41456</v>
      </c>
      <c r="C36" s="10">
        <v>3250</v>
      </c>
      <c r="D36" s="11">
        <v>79802184.599999994</v>
      </c>
      <c r="E36" s="12">
        <f t="shared" si="27"/>
        <v>0.83127250314484091</v>
      </c>
      <c r="F36" s="11">
        <v>411065.63</v>
      </c>
      <c r="G36" s="11"/>
      <c r="H36" s="11"/>
      <c r="I36" s="11"/>
      <c r="J36" s="11"/>
      <c r="K36" s="11"/>
      <c r="L36" s="11"/>
      <c r="M36" s="17">
        <f>IF(F36&gt;0.01,F36,#REF!)/D35</f>
        <v>5.1120474181751011E-3</v>
      </c>
      <c r="N36" s="17">
        <f t="shared" si="28"/>
        <v>5.9648844334749818E-2</v>
      </c>
      <c r="O36" s="20">
        <f t="shared" si="18"/>
        <v>6.5417582314265241E-2</v>
      </c>
      <c r="P36" s="20">
        <f t="shared" si="29"/>
        <v>5.5253449151786892E-2</v>
      </c>
      <c r="Q36" s="17">
        <f t="shared" si="20"/>
        <v>4.698647495532083E-2</v>
      </c>
      <c r="R36" s="11">
        <v>0</v>
      </c>
      <c r="S36" s="18">
        <v>76991385</v>
      </c>
      <c r="T36" s="18">
        <v>2071022</v>
      </c>
      <c r="U36" s="18">
        <v>532448</v>
      </c>
      <c r="V36" s="18">
        <v>56420</v>
      </c>
      <c r="W36" s="18">
        <v>28290</v>
      </c>
      <c r="X36" s="18">
        <v>0</v>
      </c>
      <c r="Y36" s="11">
        <v>16895.900000000001</v>
      </c>
      <c r="Z36" s="18">
        <f t="shared" si="23"/>
        <v>286624.38</v>
      </c>
      <c r="AA36" s="14">
        <f t="shared" si="16"/>
        <v>2.9856697159257729E-3</v>
      </c>
      <c r="AB36" s="11">
        <v>68987791.659999996</v>
      </c>
      <c r="AC36" s="14">
        <f t="shared" si="10"/>
        <v>0.79846981087962954</v>
      </c>
      <c r="AD36" s="13">
        <f t="shared" ref="AD36:AD67" si="30">+AB36*$AD$2</f>
        <v>57489826.383333333</v>
      </c>
      <c r="AE36" s="11">
        <v>9600000</v>
      </c>
      <c r="AF36" s="12">
        <f t="shared" si="11"/>
        <v>1</v>
      </c>
      <c r="AG36" s="12">
        <f t="shared" ref="AG36:AG67" si="31">+AB36/D36</f>
        <v>0.86448500132914907</v>
      </c>
      <c r="AH36" s="11">
        <v>695358.64</v>
      </c>
      <c r="AI36" s="14">
        <f t="shared" ref="AI36:AI67" si="32">((+D36+AH36)-AB36)/D36</f>
        <v>0.14422852754835486</v>
      </c>
      <c r="AK36" s="14">
        <f t="shared" ref="AK36:AK67" si="33">+S36/$D36</f>
        <v>0.96477791160619442</v>
      </c>
      <c r="AL36" s="14">
        <f t="shared" ref="AL36:AL67" si="34">+T36/$D36</f>
        <v>2.5951946182686335E-2</v>
      </c>
      <c r="AM36" s="14">
        <f t="shared" ref="AM36:AM67" si="35">+U36/$D36</f>
        <v>6.6720980467995863E-3</v>
      </c>
      <c r="AN36" s="14">
        <f t="shared" ref="AN36:AN67" si="36">+V36/$D36</f>
        <v>7.0699818911975005E-4</v>
      </c>
      <c r="AO36" s="14">
        <f t="shared" ref="AO36:AO67" si="37">+W36/$D36</f>
        <v>3.5450157338173924E-4</v>
      </c>
      <c r="AP36" s="14">
        <f t="shared" ref="AP36:AP67" si="38">+X36/$D36</f>
        <v>0</v>
      </c>
      <c r="AQ36" s="14">
        <f t="shared" ref="AQ36:AQ67" si="39">+Y36/$D36</f>
        <v>2.1172227407919862E-4</v>
      </c>
    </row>
    <row r="37" spans="1:43" x14ac:dyDescent="0.25">
      <c r="A37" s="10">
        <f t="shared" si="12"/>
        <v>33</v>
      </c>
      <c r="B37" s="15">
        <v>41487</v>
      </c>
      <c r="C37" s="10">
        <v>3233</v>
      </c>
      <c r="D37" s="11">
        <v>79166784.060000002</v>
      </c>
      <c r="E37" s="12">
        <f t="shared" si="27"/>
        <v>0.8246537495351135</v>
      </c>
      <c r="F37" s="11">
        <v>405336.07</v>
      </c>
      <c r="G37" s="11"/>
      <c r="H37" s="11"/>
      <c r="I37" s="11"/>
      <c r="J37" s="11"/>
      <c r="K37" s="11"/>
      <c r="L37" s="11"/>
      <c r="M37" s="17">
        <f>IF(F37&gt;0.01,F37,#REF!)/D36</f>
        <v>5.0792603239084768E-3</v>
      </c>
      <c r="N37" s="17">
        <f t="shared" si="28"/>
        <v>5.9276899282495132E-2</v>
      </c>
      <c r="O37" s="20">
        <f t="shared" si="18"/>
        <v>6.0999441494354989E-2</v>
      </c>
      <c r="P37" s="20">
        <f t="shared" si="29"/>
        <v>5.9403863726804652E-2</v>
      </c>
      <c r="Q37" s="17">
        <f t="shared" si="20"/>
        <v>5.0236101184586511E-2</v>
      </c>
      <c r="R37" s="11">
        <v>0</v>
      </c>
      <c r="S37" s="18">
        <v>76270253</v>
      </c>
      <c r="T37" s="18">
        <v>2247213</v>
      </c>
      <c r="U37" s="18">
        <v>427360</v>
      </c>
      <c r="V37" s="18">
        <v>61227</v>
      </c>
      <c r="W37" s="18">
        <v>26005</v>
      </c>
      <c r="X37" s="18">
        <v>12106</v>
      </c>
      <c r="Y37" s="11"/>
      <c r="Z37" s="18">
        <f t="shared" si="23"/>
        <v>286624.38</v>
      </c>
      <c r="AA37" s="14">
        <f t="shared" si="16"/>
        <v>2.9856697159257729E-3</v>
      </c>
      <c r="AB37" s="11">
        <v>68415931.170000002</v>
      </c>
      <c r="AC37" s="14">
        <f t="shared" ref="AC37:AC68" si="40">+AB37/AB$4</f>
        <v>0.79185105520833332</v>
      </c>
      <c r="AD37" s="13">
        <f t="shared" si="30"/>
        <v>57013275.975000001</v>
      </c>
      <c r="AE37" s="11">
        <v>9600000</v>
      </c>
      <c r="AF37" s="12">
        <f t="shared" si="11"/>
        <v>1</v>
      </c>
      <c r="AG37" s="12">
        <f t="shared" si="31"/>
        <v>0.86419995434130559</v>
      </c>
      <c r="AH37" s="11">
        <v>689877.92</v>
      </c>
      <c r="AI37" s="14">
        <f t="shared" si="32"/>
        <v>0.14451428014720347</v>
      </c>
      <c r="AK37" s="14">
        <f t="shared" si="33"/>
        <v>0.96341229349666724</v>
      </c>
      <c r="AL37" s="14">
        <f t="shared" si="34"/>
        <v>2.838580632878622E-2</v>
      </c>
      <c r="AM37" s="14">
        <f t="shared" si="35"/>
        <v>5.3982235741205122E-3</v>
      </c>
      <c r="AN37" s="14">
        <f t="shared" si="36"/>
        <v>7.7339253737522605E-4</v>
      </c>
      <c r="AO37" s="14">
        <f t="shared" si="37"/>
        <v>3.2848372342990433E-4</v>
      </c>
      <c r="AP37" s="14">
        <f t="shared" si="38"/>
        <v>1.5291766798086607E-4</v>
      </c>
      <c r="AQ37" s="14">
        <f t="shared" si="39"/>
        <v>0</v>
      </c>
    </row>
    <row r="38" spans="1:43" x14ac:dyDescent="0.25">
      <c r="A38" s="10">
        <f t="shared" si="12"/>
        <v>34</v>
      </c>
      <c r="B38" s="15">
        <v>41518</v>
      </c>
      <c r="C38" s="10">
        <v>3214</v>
      </c>
      <c r="D38" s="11">
        <v>78521412.019999996</v>
      </c>
      <c r="E38" s="12">
        <f t="shared" si="27"/>
        <v>0.81793112616534558</v>
      </c>
      <c r="F38" s="11">
        <v>414845.64</v>
      </c>
      <c r="G38" s="11"/>
      <c r="H38" s="11"/>
      <c r="I38" s="11"/>
      <c r="J38" s="11"/>
      <c r="K38" s="11"/>
      <c r="L38" s="11"/>
      <c r="M38" s="17">
        <f>IF(F38&gt;0.01,F38,#REF!)/D37</f>
        <v>5.2401476822096392E-3</v>
      </c>
      <c r="N38" s="17">
        <f t="shared" si="28"/>
        <v>6.1100754111749533E-2</v>
      </c>
      <c r="O38" s="20">
        <f t="shared" si="18"/>
        <v>6.0008832576331494E-2</v>
      </c>
      <c r="P38" s="20">
        <f t="shared" si="29"/>
        <v>6.2371577945411906E-2</v>
      </c>
      <c r="Q38" s="17">
        <f t="shared" si="20"/>
        <v>5.3398794366616424E-2</v>
      </c>
      <c r="R38" s="11">
        <v>0</v>
      </c>
      <c r="S38" s="18">
        <v>75978286</v>
      </c>
      <c r="T38" s="18">
        <v>1916688</v>
      </c>
      <c r="U38" s="18">
        <v>405580</v>
      </c>
      <c r="V38" s="18">
        <v>69219</v>
      </c>
      <c r="W38" s="18">
        <v>16913</v>
      </c>
      <c r="X38" s="18">
        <v>0</v>
      </c>
      <c r="Y38" s="11">
        <v>12106.3</v>
      </c>
      <c r="Z38" s="18">
        <f t="shared" si="23"/>
        <v>298730.68</v>
      </c>
      <c r="AA38" s="14">
        <f t="shared" si="16"/>
        <v>3.1117769691954081E-3</v>
      </c>
      <c r="AB38" s="11">
        <v>67835096.329999998</v>
      </c>
      <c r="AC38" s="14">
        <f t="shared" si="40"/>
        <v>0.78512842974537034</v>
      </c>
      <c r="AD38" s="13">
        <f t="shared" si="30"/>
        <v>56529246.94166667</v>
      </c>
      <c r="AE38" s="11">
        <v>9600000</v>
      </c>
      <c r="AF38" s="12">
        <f t="shared" si="11"/>
        <v>1</v>
      </c>
      <c r="AG38" s="12">
        <f t="shared" si="31"/>
        <v>0.86390571163852592</v>
      </c>
      <c r="AH38" s="11">
        <v>684159.31</v>
      </c>
      <c r="AI38" s="14">
        <f t="shared" si="32"/>
        <v>0.14480731697876056</v>
      </c>
      <c r="AK38" s="14">
        <f t="shared" si="33"/>
        <v>0.96761232440200839</v>
      </c>
      <c r="AL38" s="14">
        <f t="shared" si="34"/>
        <v>2.4409749528088023E-2</v>
      </c>
      <c r="AM38" s="14">
        <f t="shared" si="35"/>
        <v>5.1652153160044517E-3</v>
      </c>
      <c r="AN38" s="14">
        <f t="shared" si="36"/>
        <v>8.8153025040315627E-4</v>
      </c>
      <c r="AO38" s="14">
        <f t="shared" si="37"/>
        <v>2.1539347758662479E-4</v>
      </c>
      <c r="AP38" s="14">
        <f t="shared" si="38"/>
        <v>0</v>
      </c>
      <c r="AQ38" s="14">
        <f t="shared" si="39"/>
        <v>1.5417832777786056E-4</v>
      </c>
    </row>
    <row r="39" spans="1:43" x14ac:dyDescent="0.25">
      <c r="A39" s="10">
        <f t="shared" si="12"/>
        <v>35</v>
      </c>
      <c r="B39" s="15">
        <v>41548</v>
      </c>
      <c r="C39" s="10">
        <v>3195</v>
      </c>
      <c r="D39" s="11">
        <v>77803000.819999993</v>
      </c>
      <c r="E39" s="12">
        <f t="shared" si="27"/>
        <v>0.81044767844389942</v>
      </c>
      <c r="F39" s="11">
        <v>507463.73</v>
      </c>
      <c r="G39" s="11"/>
      <c r="H39" s="11"/>
      <c r="I39" s="11"/>
      <c r="J39" s="11"/>
      <c r="K39" s="11"/>
      <c r="L39" s="11"/>
      <c r="M39" s="17">
        <f>IF(F39&gt;0.01,F39,#REF!)/D38</f>
        <v>6.4627433071471653E-3</v>
      </c>
      <c r="N39" s="17">
        <f t="shared" si="28"/>
        <v>7.4854824198066106E-2</v>
      </c>
      <c r="O39" s="20">
        <f t="shared" si="18"/>
        <v>6.5077492530770262E-2</v>
      </c>
      <c r="P39" s="20">
        <f t="shared" si="29"/>
        <v>6.5247537422517751E-2</v>
      </c>
      <c r="Q39" s="17">
        <f t="shared" si="20"/>
        <v>5.4985263403305534E-2</v>
      </c>
      <c r="R39" s="11">
        <v>0</v>
      </c>
      <c r="S39" s="18">
        <v>75225640</v>
      </c>
      <c r="T39" s="18">
        <v>1969940</v>
      </c>
      <c r="U39" s="18">
        <v>435442</v>
      </c>
      <c r="V39" s="18">
        <v>49360</v>
      </c>
      <c r="W39" s="18">
        <v>0</v>
      </c>
      <c r="X39" s="18">
        <v>0</v>
      </c>
      <c r="Y39" s="11">
        <v>0</v>
      </c>
      <c r="Z39" s="18">
        <f t="shared" si="23"/>
        <v>298730.68</v>
      </c>
      <c r="AA39" s="14">
        <f t="shared" si="16"/>
        <v>3.1117769691954081E-3</v>
      </c>
      <c r="AB39" s="11">
        <v>67188526.25</v>
      </c>
      <c r="AC39" s="14">
        <f t="shared" si="40"/>
        <v>0.77764497974537039</v>
      </c>
      <c r="AD39" s="13">
        <f t="shared" si="30"/>
        <v>55990438.541666672</v>
      </c>
      <c r="AE39" s="11">
        <v>9600000</v>
      </c>
      <c r="AF39" s="12">
        <f t="shared" si="11"/>
        <v>1</v>
      </c>
      <c r="AG39" s="12">
        <f t="shared" si="31"/>
        <v>0.86357242705127846</v>
      </c>
      <c r="AH39" s="11">
        <v>678350.96</v>
      </c>
      <c r="AI39" s="14">
        <f t="shared" si="32"/>
        <v>0.14514640066552625</v>
      </c>
      <c r="AK39" s="14">
        <f t="shared" si="33"/>
        <v>0.96687324662498808</v>
      </c>
      <c r="AL39" s="14">
        <f t="shared" si="34"/>
        <v>2.5319588952070451E-2</v>
      </c>
      <c r="AM39" s="14">
        <f t="shared" si="35"/>
        <v>5.5967250030292603E-3</v>
      </c>
      <c r="AN39" s="14">
        <f t="shared" si="36"/>
        <v>6.3442283047920108E-4</v>
      </c>
      <c r="AO39" s="14">
        <f t="shared" si="37"/>
        <v>0</v>
      </c>
      <c r="AP39" s="14">
        <f t="shared" si="38"/>
        <v>0</v>
      </c>
      <c r="AQ39" s="14">
        <f t="shared" si="39"/>
        <v>0</v>
      </c>
    </row>
    <row r="40" spans="1:43" x14ac:dyDescent="0.25">
      <c r="A40" s="10">
        <f t="shared" si="12"/>
        <v>36</v>
      </c>
      <c r="B40" s="15">
        <v>41579</v>
      </c>
      <c r="C40" s="10">
        <v>3175</v>
      </c>
      <c r="D40" s="11">
        <v>77102504.739999995</v>
      </c>
      <c r="E40" s="12">
        <f t="shared" si="27"/>
        <v>0.80315084649896618</v>
      </c>
      <c r="F40" s="11">
        <v>432505.14</v>
      </c>
      <c r="G40" s="11"/>
      <c r="H40" s="11"/>
      <c r="I40" s="11"/>
      <c r="J40" s="11"/>
      <c r="K40" s="11"/>
      <c r="L40" s="11"/>
      <c r="M40" s="17">
        <f>IF(F40&gt;0.01,F40,#REF!)/D39</f>
        <v>5.5589776157942295E-3</v>
      </c>
      <c r="N40" s="17">
        <f t="shared" si="28"/>
        <v>6.4705508206420626E-2</v>
      </c>
      <c r="O40" s="20">
        <f t="shared" si="18"/>
        <v>6.6887028838745421E-2</v>
      </c>
      <c r="P40" s="20">
        <f t="shared" si="29"/>
        <v>6.3943235166550205E-2</v>
      </c>
      <c r="Q40" s="17">
        <f t="shared" si="20"/>
        <v>5.6951933115249327E-2</v>
      </c>
      <c r="R40" s="11">
        <v>603154.78</v>
      </c>
      <c r="S40" s="18">
        <v>74809751</v>
      </c>
      <c r="T40" s="18">
        <v>1642106</v>
      </c>
      <c r="U40" s="18">
        <v>418169</v>
      </c>
      <c r="V40" s="18">
        <v>76683</v>
      </c>
      <c r="W40" s="18">
        <v>33176</v>
      </c>
      <c r="X40" s="18">
        <v>0</v>
      </c>
      <c r="Y40" s="11">
        <v>0</v>
      </c>
      <c r="Z40" s="18">
        <f t="shared" si="23"/>
        <v>298730.68</v>
      </c>
      <c r="AA40" s="14">
        <f t="shared" si="16"/>
        <v>3.1117769691954081E-3</v>
      </c>
      <c r="AB40" s="11">
        <v>66163399.43</v>
      </c>
      <c r="AC40" s="14">
        <f t="shared" si="40"/>
        <v>0.7657800859953704</v>
      </c>
      <c r="AD40" s="13">
        <f t="shared" si="30"/>
        <v>55136166.19166667</v>
      </c>
      <c r="AE40" s="11">
        <v>9600000</v>
      </c>
      <c r="AF40" s="12">
        <f t="shared" si="11"/>
        <v>1</v>
      </c>
      <c r="AG40" s="12">
        <f t="shared" si="31"/>
        <v>0.85812256882071303</v>
      </c>
      <c r="AH40" s="11">
        <v>671885.26</v>
      </c>
      <c r="AI40" s="14">
        <f t="shared" si="32"/>
        <v>0.15059161319277267</v>
      </c>
      <c r="AK40" s="14">
        <f t="shared" si="33"/>
        <v>0.97026356345061071</v>
      </c>
      <c r="AL40" s="14">
        <f t="shared" si="34"/>
        <v>2.1297699802845602E-2</v>
      </c>
      <c r="AM40" s="14">
        <f t="shared" si="35"/>
        <v>5.4235462441865161E-3</v>
      </c>
      <c r="AN40" s="14">
        <f t="shared" si="36"/>
        <v>9.9455912954560135E-4</v>
      </c>
      <c r="AO40" s="14">
        <f t="shared" si="37"/>
        <v>4.3028433527385302E-4</v>
      </c>
      <c r="AP40" s="14">
        <f t="shared" si="38"/>
        <v>0</v>
      </c>
      <c r="AQ40" s="14">
        <f t="shared" si="39"/>
        <v>0</v>
      </c>
    </row>
    <row r="41" spans="1:43" x14ac:dyDescent="0.25">
      <c r="A41" s="10">
        <f t="shared" si="12"/>
        <v>37</v>
      </c>
      <c r="B41" s="15">
        <v>41609</v>
      </c>
      <c r="C41" s="10">
        <v>3160</v>
      </c>
      <c r="D41" s="11">
        <v>76602772.329999998</v>
      </c>
      <c r="E41" s="12">
        <f t="shared" si="27"/>
        <v>0.79794530214644599</v>
      </c>
      <c r="F41" s="11">
        <v>318469.58</v>
      </c>
      <c r="G41" s="11"/>
      <c r="H41" s="11"/>
      <c r="I41" s="11"/>
      <c r="J41" s="11"/>
      <c r="K41" s="11"/>
      <c r="L41" s="11"/>
      <c r="M41" s="17">
        <f>IF(F41&gt;0.01,F41,#REF!)/D40</f>
        <v>4.1304699642887377E-3</v>
      </c>
      <c r="N41" s="17">
        <f t="shared" si="28"/>
        <v>4.8454988009570155E-2</v>
      </c>
      <c r="O41" s="20">
        <f t="shared" si="18"/>
        <v>6.2671773471352291E-2</v>
      </c>
      <c r="P41" s="20">
        <f t="shared" si="29"/>
        <v>6.1340303023841893E-2</v>
      </c>
      <c r="Q41" s="17">
        <f t="shared" si="20"/>
        <v>5.7282665416466316E-2</v>
      </c>
      <c r="R41" s="11">
        <v>581744.31000000006</v>
      </c>
      <c r="S41" s="18">
        <v>74366125</v>
      </c>
      <c r="T41" s="18">
        <v>1563516</v>
      </c>
      <c r="U41" s="18">
        <v>423804</v>
      </c>
      <c r="V41" s="18">
        <v>63625</v>
      </c>
      <c r="W41" s="18">
        <v>29906</v>
      </c>
      <c r="X41" s="18">
        <v>33176</v>
      </c>
      <c r="Y41" s="11">
        <v>0</v>
      </c>
      <c r="Z41" s="18">
        <f t="shared" si="23"/>
        <v>298730.68</v>
      </c>
      <c r="AA41" s="14">
        <f t="shared" si="16"/>
        <v>3.1117769691954081E-3</v>
      </c>
      <c r="AB41" s="11">
        <v>65166631.68</v>
      </c>
      <c r="AC41" s="14">
        <f t="shared" si="40"/>
        <v>0.75424342222222218</v>
      </c>
      <c r="AD41" s="13">
        <f t="shared" si="30"/>
        <v>54305526.399999999</v>
      </c>
      <c r="AE41" s="11">
        <v>9600000</v>
      </c>
      <c r="AF41" s="12">
        <f t="shared" si="11"/>
        <v>1</v>
      </c>
      <c r="AG41" s="12">
        <f t="shared" si="31"/>
        <v>0.85070852787502504</v>
      </c>
      <c r="AH41" s="11">
        <v>661633.99</v>
      </c>
      <c r="AI41" s="14">
        <f t="shared" si="32"/>
        <v>0.1579286789763108</v>
      </c>
      <c r="AK41" s="14">
        <f t="shared" si="33"/>
        <v>0.97080200543702699</v>
      </c>
      <c r="AL41" s="14">
        <f t="shared" si="34"/>
        <v>2.0410697321298896E-2</v>
      </c>
      <c r="AM41" s="14">
        <f t="shared" si="35"/>
        <v>5.5324890615483027E-3</v>
      </c>
      <c r="AN41" s="14">
        <f t="shared" si="36"/>
        <v>8.3058351629765358E-4</v>
      </c>
      <c r="AO41" s="14">
        <f t="shared" si="37"/>
        <v>3.9040362496499219E-4</v>
      </c>
      <c r="AP41" s="14">
        <f t="shared" si="38"/>
        <v>4.3309137503640008E-4</v>
      </c>
      <c r="AQ41" s="14">
        <f t="shared" si="39"/>
        <v>0</v>
      </c>
    </row>
    <row r="42" spans="1:43" x14ac:dyDescent="0.25">
      <c r="A42" s="10">
        <f t="shared" si="12"/>
        <v>38</v>
      </c>
      <c r="B42" s="15">
        <v>41640</v>
      </c>
      <c r="C42" s="10">
        <v>3149</v>
      </c>
      <c r="D42" s="11">
        <v>76114631.799999997</v>
      </c>
      <c r="E42" s="12">
        <f t="shared" si="27"/>
        <v>0.79286050650716033</v>
      </c>
      <c r="F42" s="11">
        <v>276254.45</v>
      </c>
      <c r="G42" s="11"/>
      <c r="H42" s="11"/>
      <c r="I42" s="11"/>
      <c r="J42" s="11"/>
      <c r="K42" s="11"/>
      <c r="L42" s="11"/>
      <c r="M42" s="17">
        <f>IF(F42&gt;0.01,F42,#REF!)/D41</f>
        <v>3.6063244396679658E-3</v>
      </c>
      <c r="N42" s="17">
        <f t="shared" si="28"/>
        <v>4.2427760528510827E-2</v>
      </c>
      <c r="O42" s="20">
        <f t="shared" si="18"/>
        <v>5.18627522481672E-2</v>
      </c>
      <c r="P42" s="20">
        <f t="shared" si="29"/>
        <v>5.8470122389468727E-2</v>
      </c>
      <c r="Q42" s="17">
        <f t="shared" si="20"/>
        <v>5.686178577062781E-2</v>
      </c>
      <c r="R42" s="11">
        <v>0</v>
      </c>
      <c r="S42" s="18">
        <v>73511058</v>
      </c>
      <c r="T42" s="18">
        <v>1881121</v>
      </c>
      <c r="U42" s="18">
        <v>498481</v>
      </c>
      <c r="V42" s="18">
        <v>35016</v>
      </c>
      <c r="W42" s="18">
        <v>36430</v>
      </c>
      <c r="X42" s="18">
        <v>29906</v>
      </c>
      <c r="Y42" s="11">
        <v>0</v>
      </c>
      <c r="Z42" s="18">
        <f t="shared" si="23"/>
        <v>298730.68</v>
      </c>
      <c r="AA42" s="14">
        <f t="shared" si="16"/>
        <v>3.1117769691954081E-3</v>
      </c>
      <c r="AB42" s="11">
        <v>64727305.200000003</v>
      </c>
      <c r="AC42" s="14">
        <f t="shared" si="40"/>
        <v>0.74915862500000008</v>
      </c>
      <c r="AD42" s="13">
        <f t="shared" si="30"/>
        <v>53939421.000000007</v>
      </c>
      <c r="AE42" s="11">
        <v>9600000</v>
      </c>
      <c r="AF42" s="12">
        <f t="shared" si="11"/>
        <v>1</v>
      </c>
      <c r="AG42" s="12">
        <f t="shared" si="31"/>
        <v>0.85039241035913415</v>
      </c>
      <c r="AH42" s="11">
        <v>651666.31999999995</v>
      </c>
      <c r="AI42" s="14">
        <f t="shared" si="32"/>
        <v>0.15816923284387466</v>
      </c>
      <c r="AK42" s="14">
        <f t="shared" si="33"/>
        <v>0.96579404329457719</v>
      </c>
      <c r="AL42" s="14">
        <f t="shared" si="34"/>
        <v>2.4714315178491084E-2</v>
      </c>
      <c r="AM42" s="14">
        <f t="shared" si="35"/>
        <v>6.549082459070636E-3</v>
      </c>
      <c r="AN42" s="14">
        <f t="shared" si="36"/>
        <v>4.6004295326565584E-4</v>
      </c>
      <c r="AO42" s="14">
        <f t="shared" si="37"/>
        <v>4.7862019612371034E-4</v>
      </c>
      <c r="AP42" s="14">
        <f t="shared" si="38"/>
        <v>3.9290737264001326E-4</v>
      </c>
      <c r="AQ42" s="14">
        <f t="shared" si="39"/>
        <v>0</v>
      </c>
    </row>
    <row r="43" spans="1:43" x14ac:dyDescent="0.25">
      <c r="A43" s="10">
        <f t="shared" si="12"/>
        <v>39</v>
      </c>
      <c r="B43" s="15">
        <v>41671</v>
      </c>
      <c r="C43" s="10">
        <v>3136</v>
      </c>
      <c r="D43" s="11">
        <v>75617403.840000004</v>
      </c>
      <c r="E43" s="12">
        <f t="shared" si="27"/>
        <v>0.78768105016753021</v>
      </c>
      <c r="F43" s="11">
        <v>305481.09000000003</v>
      </c>
      <c r="G43" s="11"/>
      <c r="H43" s="11"/>
      <c r="I43" s="11"/>
      <c r="J43" s="11"/>
      <c r="K43" s="11"/>
      <c r="L43" s="11"/>
      <c r="M43" s="17">
        <f>IF(F43&gt;0.01,F43,#REF!)/D42</f>
        <v>4.013434510235653E-3</v>
      </c>
      <c r="N43" s="17">
        <f t="shared" si="28"/>
        <v>4.7112203524641294E-2</v>
      </c>
      <c r="O43" s="20">
        <f t="shared" si="18"/>
        <v>4.5998317354240759E-2</v>
      </c>
      <c r="P43" s="20">
        <f t="shared" si="29"/>
        <v>5.644267309649309E-2</v>
      </c>
      <c r="Q43" s="17">
        <f t="shared" si="20"/>
        <v>5.7923268411648875E-2</v>
      </c>
      <c r="R43" s="11">
        <v>565431.77</v>
      </c>
      <c r="S43" s="18">
        <v>74062127</v>
      </c>
      <c r="T43" s="18">
        <v>904195</v>
      </c>
      <c r="U43" s="18">
        <v>375733</v>
      </c>
      <c r="V43" s="18">
        <v>81400</v>
      </c>
      <c r="W43" s="18">
        <v>42496</v>
      </c>
      <c r="X43" s="18">
        <v>15111</v>
      </c>
      <c r="Y43" s="11">
        <v>13723.06</v>
      </c>
      <c r="Z43" s="18">
        <f t="shared" si="23"/>
        <v>312453.74</v>
      </c>
      <c r="AA43" s="14">
        <f t="shared" si="16"/>
        <v>3.2547254673372349E-3</v>
      </c>
      <c r="AB43" s="11">
        <v>63777084.18</v>
      </c>
      <c r="AC43" s="14">
        <f t="shared" si="40"/>
        <v>0.73816069652777783</v>
      </c>
      <c r="AD43" s="13">
        <f t="shared" si="30"/>
        <v>53147570.149999999</v>
      </c>
      <c r="AE43" s="11">
        <v>9600000</v>
      </c>
      <c r="AF43" s="12">
        <f t="shared" si="11"/>
        <v>1</v>
      </c>
      <c r="AG43" s="12">
        <f t="shared" si="31"/>
        <v>0.84341806173281064</v>
      </c>
      <c r="AH43" s="11">
        <v>647273.05000000005</v>
      </c>
      <c r="AI43" s="14">
        <f t="shared" si="32"/>
        <v>0.16514178054066342</v>
      </c>
      <c r="AK43" s="14">
        <f t="shared" si="33"/>
        <v>0.97943228990920084</v>
      </c>
      <c r="AL43" s="14">
        <f t="shared" si="34"/>
        <v>1.1957498592694345E-2</v>
      </c>
      <c r="AM43" s="14">
        <f t="shared" si="35"/>
        <v>4.9688693464671058E-3</v>
      </c>
      <c r="AN43" s="14">
        <f t="shared" si="36"/>
        <v>1.0764717626676986E-3</v>
      </c>
      <c r="AO43" s="14">
        <f t="shared" si="37"/>
        <v>5.6198702735044863E-4</v>
      </c>
      <c r="AP43" s="14">
        <f t="shared" si="38"/>
        <v>1.9983494847262398E-4</v>
      </c>
      <c r="AQ43" s="14">
        <f t="shared" si="39"/>
        <v>1.8148017920632172E-4</v>
      </c>
    </row>
    <row r="44" spans="1:43" x14ac:dyDescent="0.25">
      <c r="A44" s="10">
        <f t="shared" si="12"/>
        <v>40</v>
      </c>
      <c r="B44" s="15">
        <v>41699</v>
      </c>
      <c r="C44" s="10">
        <v>3116</v>
      </c>
      <c r="D44" s="11">
        <v>74952963.549999997</v>
      </c>
      <c r="E44" s="12">
        <f t="shared" si="27"/>
        <v>0.78075979925407357</v>
      </c>
      <c r="F44" s="11">
        <v>465610.49</v>
      </c>
      <c r="G44" s="11"/>
      <c r="H44" s="11"/>
      <c r="I44" s="11"/>
      <c r="J44" s="11"/>
      <c r="K44" s="11"/>
      <c r="L44" s="11"/>
      <c r="M44" s="17">
        <f>IF(F44&gt;0.01,F44,#REF!)/D43</f>
        <v>6.1574514113866196E-3</v>
      </c>
      <c r="N44" s="17">
        <f t="shared" si="28"/>
        <v>7.1437734696705668E-2</v>
      </c>
      <c r="O44" s="20">
        <f t="shared" si="18"/>
        <v>5.3659232916619261E-2</v>
      </c>
      <c r="P44" s="20">
        <f t="shared" si="29"/>
        <v>5.8165503193985779E-2</v>
      </c>
      <c r="Q44" s="17">
        <f t="shared" si="20"/>
        <v>6.0268540569698846E-2</v>
      </c>
      <c r="R44" s="11">
        <v>0</v>
      </c>
      <c r="S44" s="18">
        <v>72756491</v>
      </c>
      <c r="T44" s="18">
        <v>1600732</v>
      </c>
      <c r="U44" s="18">
        <v>318109</v>
      </c>
      <c r="V44" s="18">
        <v>78341</v>
      </c>
      <c r="W44" s="18">
        <v>23870</v>
      </c>
      <c r="X44" s="18">
        <v>23963</v>
      </c>
      <c r="Y44" s="11">
        <v>15115.74</v>
      </c>
      <c r="Z44" s="11">
        <f t="shared" ref="Z44:Z54" si="41">+Z43+Y44</f>
        <v>327569.48</v>
      </c>
      <c r="AA44" s="14">
        <f t="shared" ref="AA44:AA75" si="42">+Z44/D$4</f>
        <v>3.4121810443952919E-3</v>
      </c>
      <c r="AB44" s="11">
        <v>63179087.920000002</v>
      </c>
      <c r="AC44" s="14">
        <f t="shared" si="40"/>
        <v>0.73123944351851855</v>
      </c>
      <c r="AD44" s="13">
        <f t="shared" si="30"/>
        <v>52649239.933333337</v>
      </c>
      <c r="AE44" s="11">
        <v>9600000</v>
      </c>
      <c r="AF44" s="12">
        <f t="shared" si="11"/>
        <v>1</v>
      </c>
      <c r="AG44" s="12">
        <f t="shared" si="31"/>
        <v>0.84291647624919031</v>
      </c>
      <c r="AH44" s="11">
        <v>637770.84</v>
      </c>
      <c r="AI44" s="14">
        <f t="shared" si="32"/>
        <v>0.16559247135999333</v>
      </c>
      <c r="AK44" s="14">
        <f t="shared" si="33"/>
        <v>0.97069532082564336</v>
      </c>
      <c r="AL44" s="14">
        <f t="shared" si="34"/>
        <v>2.1356487111175739E-2</v>
      </c>
      <c r="AM44" s="14">
        <f t="shared" si="35"/>
        <v>4.2441150413991867E-3</v>
      </c>
      <c r="AN44" s="14">
        <f t="shared" si="36"/>
        <v>1.0452021679935295E-3</v>
      </c>
      <c r="AO44" s="14">
        <f t="shared" si="37"/>
        <v>3.1846639371472857E-4</v>
      </c>
      <c r="AP44" s="14">
        <f t="shared" si="38"/>
        <v>3.1970717187205871E-4</v>
      </c>
      <c r="AQ44" s="14">
        <f t="shared" si="39"/>
        <v>2.0166967767614041E-4</v>
      </c>
    </row>
    <row r="45" spans="1:43" x14ac:dyDescent="0.25">
      <c r="A45" s="10">
        <f t="shared" si="12"/>
        <v>41</v>
      </c>
      <c r="B45" s="15">
        <v>41730</v>
      </c>
      <c r="C45" s="10">
        <v>3101</v>
      </c>
      <c r="D45" s="11">
        <v>74427471.359999999</v>
      </c>
      <c r="E45" s="12">
        <f t="shared" si="27"/>
        <v>0.77528592394158791</v>
      </c>
      <c r="F45" s="11">
        <v>315228.83</v>
      </c>
      <c r="G45" s="11"/>
      <c r="H45" s="11"/>
      <c r="I45" s="11"/>
      <c r="J45" s="11"/>
      <c r="K45" s="11"/>
      <c r="L45" s="11"/>
      <c r="M45" s="17">
        <f>IF(F45&gt;0.01,F45,#REF!)/D44</f>
        <v>4.2056886755346985E-3</v>
      </c>
      <c r="N45" s="17">
        <f t="shared" si="28"/>
        <v>4.9317080020316983E-2</v>
      </c>
      <c r="O45" s="20">
        <f t="shared" si="18"/>
        <v>5.5955672747221318E-2</v>
      </c>
      <c r="P45" s="20">
        <f t="shared" si="29"/>
        <v>5.3909212497694259E-2</v>
      </c>
      <c r="Q45" s="17">
        <f t="shared" si="20"/>
        <v>5.9578374960106005E-2</v>
      </c>
      <c r="R45" s="11">
        <v>0</v>
      </c>
      <c r="S45" s="18">
        <v>72410762</v>
      </c>
      <c r="T45" s="18">
        <v>1433264</v>
      </c>
      <c r="U45" s="18">
        <v>382439</v>
      </c>
      <c r="V45" s="18">
        <v>25680</v>
      </c>
      <c r="W45" s="18">
        <v>0</v>
      </c>
      <c r="X45" s="18">
        <v>23870</v>
      </c>
      <c r="Y45" s="11">
        <v>0</v>
      </c>
      <c r="Z45" s="11">
        <f t="shared" si="41"/>
        <v>327569.48</v>
      </c>
      <c r="AA45" s="14">
        <f t="shared" si="42"/>
        <v>3.4121810443952919E-3</v>
      </c>
      <c r="AB45" s="11">
        <v>62706144.950000003</v>
      </c>
      <c r="AC45" s="14">
        <f t="shared" si="40"/>
        <v>0.72576556655092594</v>
      </c>
      <c r="AD45" s="13">
        <f t="shared" si="30"/>
        <v>52255120.791666672</v>
      </c>
      <c r="AE45" s="11">
        <v>9600000</v>
      </c>
      <c r="AF45" s="12">
        <f t="shared" si="11"/>
        <v>1</v>
      </c>
      <c r="AG45" s="12">
        <f t="shared" si="31"/>
        <v>0.84251344032225906</v>
      </c>
      <c r="AH45" s="11">
        <v>631790.88</v>
      </c>
      <c r="AI45" s="14">
        <f t="shared" si="32"/>
        <v>0.16597523823225038</v>
      </c>
      <c r="AK45" s="14">
        <f t="shared" si="33"/>
        <v>0.97290369640202701</v>
      </c>
      <c r="AL45" s="14">
        <f t="shared" si="34"/>
        <v>1.9257190575068868E-2</v>
      </c>
      <c r="AM45" s="14">
        <f t="shared" si="35"/>
        <v>5.1384118392276386E-3</v>
      </c>
      <c r="AN45" s="14">
        <f t="shared" si="36"/>
        <v>3.4503389045407442E-4</v>
      </c>
      <c r="AO45" s="14">
        <f t="shared" si="37"/>
        <v>0</v>
      </c>
      <c r="AP45" s="14">
        <f t="shared" si="38"/>
        <v>3.2071491297269299E-4</v>
      </c>
      <c r="AQ45" s="14">
        <f t="shared" si="39"/>
        <v>0</v>
      </c>
    </row>
    <row r="46" spans="1:43" x14ac:dyDescent="0.25">
      <c r="A46" s="10">
        <f t="shared" si="12"/>
        <v>42</v>
      </c>
      <c r="B46" s="15">
        <v>41760</v>
      </c>
      <c r="C46" s="10">
        <v>3088</v>
      </c>
      <c r="D46" s="11">
        <v>73893528.450000003</v>
      </c>
      <c r="E46" s="12">
        <f t="shared" si="27"/>
        <v>0.7697240203225717</v>
      </c>
      <c r="F46" s="11">
        <v>325457.64</v>
      </c>
      <c r="G46" s="11"/>
      <c r="H46" s="11"/>
      <c r="I46" s="11"/>
      <c r="J46" s="11"/>
      <c r="K46" s="11"/>
      <c r="L46" s="11"/>
      <c r="M46" s="17">
        <f>IF(F46&gt;0.01,F46,#REF!)/D45</f>
        <v>4.3728160322118997E-3</v>
      </c>
      <c r="N46" s="17">
        <f t="shared" si="28"/>
        <v>5.1229987610562078E-2</v>
      </c>
      <c r="O46" s="20">
        <f t="shared" si="18"/>
        <v>5.7328267442528245E-2</v>
      </c>
      <c r="P46" s="20">
        <f t="shared" si="29"/>
        <v>5.1663292398384499E-2</v>
      </c>
      <c r="Q46" s="17">
        <f t="shared" si="20"/>
        <v>5.7803263782467355E-2</v>
      </c>
      <c r="R46" s="11">
        <v>509669.07</v>
      </c>
      <c r="S46" s="18">
        <v>71756292</v>
      </c>
      <c r="T46" s="18">
        <v>1473654</v>
      </c>
      <c r="U46" s="18">
        <v>430139</v>
      </c>
      <c r="V46" s="18">
        <v>58121</v>
      </c>
      <c r="W46" s="18">
        <v>23870</v>
      </c>
      <c r="X46" s="18">
        <v>0</v>
      </c>
      <c r="Y46" s="11">
        <v>0</v>
      </c>
      <c r="Z46" s="11">
        <f t="shared" si="41"/>
        <v>327569.48</v>
      </c>
      <c r="AA46" s="14">
        <f t="shared" si="42"/>
        <v>3.4121810443952919E-3</v>
      </c>
      <c r="AB46" s="11">
        <v>61843203.490000002</v>
      </c>
      <c r="AC46" s="14">
        <f t="shared" si="40"/>
        <v>0.71577781817129627</v>
      </c>
      <c r="AD46" s="13">
        <f t="shared" si="30"/>
        <v>51536002.908333339</v>
      </c>
      <c r="AE46" s="11">
        <f>+AE45</f>
        <v>9600000</v>
      </c>
      <c r="AF46" s="12">
        <f t="shared" si="11"/>
        <v>1</v>
      </c>
      <c r="AG46" s="12">
        <f t="shared" si="31"/>
        <v>0.83692313504620575</v>
      </c>
      <c r="AH46" s="11">
        <v>627061.44999999995</v>
      </c>
      <c r="AI46" s="14">
        <f t="shared" si="32"/>
        <v>0.17156287804794904</v>
      </c>
      <c r="AK46" s="14">
        <f t="shared" si="33"/>
        <v>0.97107681153098324</v>
      </c>
      <c r="AL46" s="14">
        <f t="shared" si="34"/>
        <v>1.9942937235662615E-2</v>
      </c>
      <c r="AM46" s="14">
        <f t="shared" si="35"/>
        <v>5.8210645644165334E-3</v>
      </c>
      <c r="AN46" s="14">
        <f t="shared" si="36"/>
        <v>7.8655061165914587E-4</v>
      </c>
      <c r="AO46" s="14">
        <f t="shared" si="37"/>
        <v>3.2303234803778003E-4</v>
      </c>
      <c r="AP46" s="14">
        <f t="shared" si="38"/>
        <v>0</v>
      </c>
      <c r="AQ46" s="14">
        <f t="shared" si="39"/>
        <v>0</v>
      </c>
    </row>
    <row r="47" spans="1:43" x14ac:dyDescent="0.25">
      <c r="A47" s="10">
        <f t="shared" si="12"/>
        <v>43</v>
      </c>
      <c r="B47" s="15">
        <v>41791</v>
      </c>
      <c r="C47" s="10">
        <v>3072</v>
      </c>
      <c r="D47" s="11">
        <v>73351655.75</v>
      </c>
      <c r="E47" s="12">
        <f t="shared" si="27"/>
        <v>0.76407951474953939</v>
      </c>
      <c r="F47" s="11">
        <v>335170.65999999997</v>
      </c>
      <c r="G47" s="11"/>
      <c r="H47" s="11"/>
      <c r="I47" s="11"/>
      <c r="J47" s="11"/>
      <c r="K47" s="11"/>
      <c r="L47" s="11"/>
      <c r="M47" s="17">
        <f>IF(F47&gt;0.01,F47,#REF!)/D46</f>
        <v>4.5358594592866536E-3</v>
      </c>
      <c r="N47" s="17">
        <f t="shared" si="28"/>
        <v>5.3092750698006896E-2</v>
      </c>
      <c r="O47" s="20">
        <f t="shared" si="18"/>
        <v>5.1213272776295317E-2</v>
      </c>
      <c r="P47" s="20">
        <f t="shared" si="29"/>
        <v>5.2436252846457289E-2</v>
      </c>
      <c r="Q47" s="17">
        <f t="shared" si="20"/>
        <v>5.6888277935149591E-2</v>
      </c>
      <c r="R47" s="11">
        <v>0</v>
      </c>
      <c r="S47" s="18">
        <v>71415673</v>
      </c>
      <c r="T47" s="18">
        <v>1411450</v>
      </c>
      <c r="U47" s="18">
        <v>321006</v>
      </c>
      <c r="V47" s="18">
        <v>50586</v>
      </c>
      <c r="W47" s="18">
        <v>16899</v>
      </c>
      <c r="X47" s="18">
        <v>23870</v>
      </c>
      <c r="Y47" s="11">
        <v>0</v>
      </c>
      <c r="Z47" s="11">
        <f t="shared" si="41"/>
        <v>327569.48</v>
      </c>
      <c r="AA47" s="14">
        <f t="shared" si="42"/>
        <v>3.4121810443952919E-3</v>
      </c>
      <c r="AB47" s="11">
        <v>61355518.060000002</v>
      </c>
      <c r="AC47" s="14">
        <f t="shared" si="40"/>
        <v>0.71013331087962961</v>
      </c>
      <c r="AD47" s="13">
        <f t="shared" si="30"/>
        <v>51129598.38333334</v>
      </c>
      <c r="AE47" s="11">
        <v>9600000</v>
      </c>
      <c r="AF47" s="12">
        <f t="shared" si="11"/>
        <v>1</v>
      </c>
      <c r="AG47" s="12">
        <f t="shared" si="31"/>
        <v>0.83645716559029415</v>
      </c>
      <c r="AH47" s="11">
        <v>618432.03</v>
      </c>
      <c r="AI47" s="14">
        <f t="shared" si="32"/>
        <v>0.17197389194585425</v>
      </c>
      <c r="AK47" s="14">
        <f t="shared" si="33"/>
        <v>0.97360682959089173</v>
      </c>
      <c r="AL47" s="14">
        <f t="shared" si="34"/>
        <v>1.9242237759575044E-2</v>
      </c>
      <c r="AM47" s="14">
        <f t="shared" si="35"/>
        <v>4.3762611316377816E-3</v>
      </c>
      <c r="AN47" s="14">
        <f t="shared" si="36"/>
        <v>6.8963678437483666E-4</v>
      </c>
      <c r="AO47" s="14">
        <f t="shared" si="37"/>
        <v>2.3038334754972453E-4</v>
      </c>
      <c r="AP47" s="14">
        <f t="shared" si="38"/>
        <v>3.2541869376956768E-4</v>
      </c>
      <c r="AQ47" s="14">
        <f t="shared" si="39"/>
        <v>0</v>
      </c>
    </row>
    <row r="48" spans="1:43" x14ac:dyDescent="0.25">
      <c r="A48" s="10">
        <f t="shared" si="12"/>
        <v>44</v>
      </c>
      <c r="B48" s="15">
        <v>41821</v>
      </c>
      <c r="C48" s="10">
        <v>3062</v>
      </c>
      <c r="D48" s="11">
        <v>72884422.530000001</v>
      </c>
      <c r="E48" s="12">
        <f t="shared" ref="E48:E54" si="43">+D48/D$4</f>
        <v>0.75921250352310954</v>
      </c>
      <c r="F48" s="11">
        <v>271895.52</v>
      </c>
      <c r="G48" s="11"/>
      <c r="H48" s="11"/>
      <c r="I48" s="11"/>
      <c r="J48" s="11"/>
      <c r="K48" s="11"/>
      <c r="L48" s="11"/>
      <c r="M48" s="17">
        <f>IF(F48&gt;0.01,F48,#REF!)/D47</f>
        <v>3.7067400486048337E-3</v>
      </c>
      <c r="N48" s="17">
        <f t="shared" ref="N48" si="44">1-(+M48-1)^12</f>
        <v>4.3585157518330364E-2</v>
      </c>
      <c r="O48" s="20">
        <f t="shared" ref="O48" si="45">AVERAGE(N46:N48)</f>
        <v>4.9302631942299779E-2</v>
      </c>
      <c r="P48" s="20">
        <f t="shared" ref="P48" si="46">AVERAGE(N43:N48)</f>
        <v>5.2629152344760545E-2</v>
      </c>
      <c r="Q48" s="17">
        <f t="shared" ref="Q48" si="47">AVERAGE(N37:N48)</f>
        <v>5.5549637367114636E-2</v>
      </c>
      <c r="R48" s="11">
        <v>0</v>
      </c>
      <c r="S48" s="18">
        <v>70731954</v>
      </c>
      <c r="T48" s="18">
        <v>1497030</v>
      </c>
      <c r="U48" s="18">
        <v>379826</v>
      </c>
      <c r="V48" s="18">
        <v>130613</v>
      </c>
      <c r="W48" s="18">
        <v>13921</v>
      </c>
      <c r="X48" s="18">
        <v>16899</v>
      </c>
      <c r="Y48" s="11">
        <v>23869.53</v>
      </c>
      <c r="Z48" s="11">
        <f t="shared" si="41"/>
        <v>351439.01</v>
      </c>
      <c r="AA48" s="14">
        <f t="shared" si="42"/>
        <v>3.66082190618933E-3</v>
      </c>
      <c r="AB48" s="11">
        <v>60950558.990000002</v>
      </c>
      <c r="AC48" s="14">
        <f t="shared" si="40"/>
        <v>0.70544628460648151</v>
      </c>
      <c r="AD48" s="13">
        <f t="shared" si="30"/>
        <v>50792132.491666667</v>
      </c>
      <c r="AE48" s="11">
        <v>9600000</v>
      </c>
      <c r="AF48" s="12">
        <f t="shared" ref="AF48:AF51" si="48">+AE48/$AE$4</f>
        <v>1</v>
      </c>
      <c r="AG48" s="12">
        <f t="shared" si="31"/>
        <v>0.83626318044726367</v>
      </c>
      <c r="AH48" s="11">
        <v>618432.03</v>
      </c>
      <c r="AI48" s="14">
        <f t="shared" si="32"/>
        <v>0.17222192526576366</v>
      </c>
      <c r="AK48" s="14">
        <f t="shared" si="33"/>
        <v>0.97046737210390843</v>
      </c>
      <c r="AL48" s="14">
        <f t="shared" si="34"/>
        <v>2.053977994246722E-2</v>
      </c>
      <c r="AM48" s="14">
        <f t="shared" si="35"/>
        <v>5.2113467708914014E-3</v>
      </c>
      <c r="AN48" s="14">
        <f t="shared" si="36"/>
        <v>1.7920564568682466E-3</v>
      </c>
      <c r="AO48" s="14">
        <f t="shared" si="37"/>
        <v>1.9100103309825867E-4</v>
      </c>
      <c r="AP48" s="14">
        <f t="shared" si="38"/>
        <v>2.3186024411518376E-4</v>
      </c>
      <c r="AQ48" s="14">
        <f t="shared" si="39"/>
        <v>3.2749837580417198E-4</v>
      </c>
    </row>
    <row r="49" spans="1:43" x14ac:dyDescent="0.25">
      <c r="A49" s="10">
        <f t="shared" si="12"/>
        <v>45</v>
      </c>
      <c r="B49" s="15">
        <v>41852</v>
      </c>
      <c r="C49" s="10">
        <v>3045</v>
      </c>
      <c r="D49" s="11">
        <v>72200044.049999997</v>
      </c>
      <c r="E49" s="12">
        <f t="shared" si="43"/>
        <v>0.75208356319372338</v>
      </c>
      <c r="F49" s="11">
        <v>423771.16</v>
      </c>
      <c r="G49" s="11"/>
      <c r="H49" s="11"/>
      <c r="I49" s="11"/>
      <c r="J49" s="11"/>
      <c r="K49" s="11"/>
      <c r="L49" s="11"/>
      <c r="M49" s="17">
        <f>IF(F49&gt;0.01,F49,#REF!)/D48</f>
        <v>5.8142898755295927E-3</v>
      </c>
      <c r="N49" s="17">
        <f t="shared" ref="N49" si="49">1-(+M49-1)^12</f>
        <v>6.7582966911968412E-2</v>
      </c>
      <c r="O49" s="20">
        <f t="shared" ref="O49" si="50">AVERAGE(N47:N49)</f>
        <v>5.475362504276856E-2</v>
      </c>
      <c r="P49" s="20">
        <f t="shared" ref="P49" si="51">AVERAGE(N44:N49)</f>
        <v>5.6040946242648403E-2</v>
      </c>
      <c r="Q49" s="17">
        <f t="shared" ref="Q49" si="52">AVERAGE(N38:N49)</f>
        <v>5.6241809669570743E-2</v>
      </c>
      <c r="R49" s="11">
        <v>0</v>
      </c>
      <c r="S49" s="18">
        <v>70272599</v>
      </c>
      <c r="T49" s="18">
        <v>1393797</v>
      </c>
      <c r="U49" s="18">
        <v>208354</v>
      </c>
      <c r="V49" s="18">
        <v>107620</v>
      </c>
      <c r="W49" s="18">
        <v>86398</v>
      </c>
      <c r="X49" s="18">
        <v>13921</v>
      </c>
      <c r="Y49" s="11">
        <v>16898.990000000002</v>
      </c>
      <c r="Z49" s="11">
        <f t="shared" si="41"/>
        <v>368338</v>
      </c>
      <c r="AA49" s="14">
        <f t="shared" si="42"/>
        <v>3.8368529984248627E-3</v>
      </c>
      <c r="AB49" s="11">
        <v>60319067.530000001</v>
      </c>
      <c r="AC49" s="14">
        <f t="shared" si="40"/>
        <v>0.69813735567129631</v>
      </c>
      <c r="AD49" s="13">
        <f t="shared" si="30"/>
        <v>50265889.608333334</v>
      </c>
      <c r="AE49" s="11">
        <v>9600000</v>
      </c>
      <c r="AF49" s="12">
        <f t="shared" si="48"/>
        <v>1</v>
      </c>
      <c r="AG49" s="12">
        <f t="shared" si="31"/>
        <v>0.83544363890176887</v>
      </c>
      <c r="AH49" s="11">
        <v>609505.59</v>
      </c>
      <c r="AI49" s="14">
        <f t="shared" si="32"/>
        <v>0.17299826162640686</v>
      </c>
      <c r="AK49" s="14">
        <f t="shared" si="33"/>
        <v>0.97330410146751156</v>
      </c>
      <c r="AL49" s="14">
        <f t="shared" si="34"/>
        <v>1.9304655812048637E-2</v>
      </c>
      <c r="AM49" s="14">
        <f t="shared" si="35"/>
        <v>2.8857877130339508E-3</v>
      </c>
      <c r="AN49" s="14">
        <f t="shared" si="36"/>
        <v>1.4905808080320695E-3</v>
      </c>
      <c r="AO49" s="14">
        <f t="shared" si="37"/>
        <v>1.1966474693584346E-3</v>
      </c>
      <c r="AP49" s="14">
        <f t="shared" si="38"/>
        <v>1.9281151671264113E-4</v>
      </c>
      <c r="AQ49" s="14">
        <f t="shared" si="39"/>
        <v>2.3405789043974971E-4</v>
      </c>
    </row>
    <row r="50" spans="1:43" x14ac:dyDescent="0.25">
      <c r="A50" s="10">
        <f t="shared" si="12"/>
        <v>46</v>
      </c>
      <c r="B50" s="15">
        <v>41883</v>
      </c>
      <c r="C50" s="10">
        <v>3025</v>
      </c>
      <c r="D50" s="11">
        <v>71501468.760000005</v>
      </c>
      <c r="E50" s="12">
        <f t="shared" si="43"/>
        <v>0.74480673947186471</v>
      </c>
      <c r="F50" s="11">
        <v>457227.83</v>
      </c>
      <c r="G50" s="11"/>
      <c r="H50" s="11"/>
      <c r="I50" s="11"/>
      <c r="J50" s="11"/>
      <c r="K50" s="11"/>
      <c r="L50" s="11"/>
      <c r="M50" s="17">
        <f>IF(F50&gt;0.01,F50,#REF!)/D49</f>
        <v>6.3327915656583317E-3</v>
      </c>
      <c r="N50" s="17">
        <f t="shared" ref="N50" si="53">1-(+M50-1)^12</f>
        <v>7.3401704033829507E-2</v>
      </c>
      <c r="O50" s="20">
        <f t="shared" ref="O50" si="54">AVERAGE(N48:N50)</f>
        <v>6.1523276154709428E-2</v>
      </c>
      <c r="P50" s="20">
        <f t="shared" ref="P50" si="55">AVERAGE(N45:N50)</f>
        <v>5.6368274465502376E-2</v>
      </c>
      <c r="Q50" s="17">
        <f t="shared" ref="Q50" si="56">AVERAGE(N39:N50)</f>
        <v>5.7266888829744074E-2</v>
      </c>
      <c r="R50" s="11"/>
      <c r="S50" s="18">
        <v>69717091</v>
      </c>
      <c r="T50" s="18">
        <v>1040047</v>
      </c>
      <c r="U50" s="18">
        <v>454697</v>
      </c>
      <c r="V50" s="18">
        <v>61718</v>
      </c>
      <c r="W50" s="18">
        <v>38775</v>
      </c>
      <c r="X50" s="18">
        <v>57864</v>
      </c>
      <c r="Y50" s="11">
        <v>13921.12</v>
      </c>
      <c r="Z50" s="11">
        <f t="shared" si="41"/>
        <v>382259.12</v>
      </c>
      <c r="AA50" s="14">
        <f t="shared" si="42"/>
        <v>3.9818646209385114E-3</v>
      </c>
      <c r="AB50" s="11">
        <v>59704349.460000001</v>
      </c>
      <c r="AC50" s="14">
        <f t="shared" si="40"/>
        <v>0.69102256319444444</v>
      </c>
      <c r="AD50" s="13">
        <f t="shared" si="30"/>
        <v>49753624.550000004</v>
      </c>
      <c r="AE50" s="11">
        <v>9600000</v>
      </c>
      <c r="AF50" s="12">
        <f t="shared" si="48"/>
        <v>1</v>
      </c>
      <c r="AG50" s="12">
        <f t="shared" si="31"/>
        <v>0.83500871374267971</v>
      </c>
      <c r="AH50" s="11">
        <v>603190.68000000005</v>
      </c>
      <c r="AI50" s="14">
        <f t="shared" si="32"/>
        <v>0.17342734624966341</v>
      </c>
      <c r="AK50" s="14">
        <f t="shared" si="33"/>
        <v>0.97504418033719831</v>
      </c>
      <c r="AL50" s="14">
        <f t="shared" si="34"/>
        <v>1.4545813086595397E-2</v>
      </c>
      <c r="AM50" s="14">
        <f t="shared" si="35"/>
        <v>6.3592679686934024E-3</v>
      </c>
      <c r="AN50" s="14">
        <f t="shared" si="36"/>
        <v>8.631710798439827E-4</v>
      </c>
      <c r="AO50" s="14">
        <f t="shared" si="37"/>
        <v>5.4229655239882097E-4</v>
      </c>
      <c r="AP50" s="14">
        <f t="shared" si="38"/>
        <v>8.0927008918131203E-4</v>
      </c>
      <c r="AQ50" s="14">
        <f t="shared" si="39"/>
        <v>1.9469697953656415E-4</v>
      </c>
    </row>
    <row r="51" spans="1:43" x14ac:dyDescent="0.25">
      <c r="A51" s="10">
        <f t="shared" si="12"/>
        <v>47</v>
      </c>
      <c r="B51" s="15">
        <v>41913</v>
      </c>
      <c r="C51" s="10">
        <v>3011</v>
      </c>
      <c r="D51" s="11">
        <v>70941947.329999998</v>
      </c>
      <c r="E51" s="12">
        <f t="shared" si="43"/>
        <v>0.73897839301730794</v>
      </c>
      <c r="F51" s="11">
        <v>326935.02</v>
      </c>
      <c r="G51" s="11"/>
      <c r="H51" s="11"/>
      <c r="I51" s="11"/>
      <c r="J51" s="11"/>
      <c r="K51" s="11"/>
      <c r="L51" s="11"/>
      <c r="M51" s="17">
        <f>IF(F51&gt;0.01,F51,#REF!)/D50</f>
        <v>4.5724238350596923E-3</v>
      </c>
      <c r="N51" s="17">
        <f t="shared" ref="N51" si="57">1-(+M51-1)^12</f>
        <v>5.3510036392571236E-2</v>
      </c>
      <c r="O51" s="20">
        <f t="shared" ref="O51" si="58">AVERAGE(N49:N51)</f>
        <v>6.4831569112789714E-2</v>
      </c>
      <c r="P51" s="20">
        <f t="shared" ref="P51" si="59">AVERAGE(N46:N51)</f>
        <v>5.7067100527544747E-2</v>
      </c>
      <c r="Q51" s="17">
        <f t="shared" ref="Q51" si="60">AVERAGE(N40:N51)</f>
        <v>5.5488156512619506E-2</v>
      </c>
      <c r="R51" s="11"/>
      <c r="S51" s="18">
        <v>69150175</v>
      </c>
      <c r="T51" s="18">
        <v>1291610</v>
      </c>
      <c r="U51" s="18">
        <v>243590</v>
      </c>
      <c r="V51" s="18">
        <v>95342</v>
      </c>
      <c r="W51" s="18">
        <v>10839</v>
      </c>
      <c r="X51" s="18">
        <v>13740</v>
      </c>
      <c r="Y51" s="11">
        <v>57863.88</v>
      </c>
      <c r="Z51" s="11">
        <f t="shared" si="41"/>
        <v>440123</v>
      </c>
      <c r="AA51" s="14">
        <f t="shared" si="42"/>
        <v>4.5846131874141306E-3</v>
      </c>
      <c r="AB51" s="11">
        <v>59186780.479999997</v>
      </c>
      <c r="AC51" s="14">
        <f t="shared" si="40"/>
        <v>0.68503218148148148</v>
      </c>
      <c r="AD51" s="13">
        <f t="shared" si="30"/>
        <v>49322317.066666663</v>
      </c>
      <c r="AE51" s="11">
        <v>9600000</v>
      </c>
      <c r="AF51" s="12">
        <f t="shared" si="48"/>
        <v>1</v>
      </c>
      <c r="AG51" s="12">
        <f t="shared" si="31"/>
        <v>0.8342987852402951</v>
      </c>
      <c r="AH51" s="11">
        <v>597043.49</v>
      </c>
      <c r="AI51" s="14">
        <f t="shared" si="32"/>
        <v>0.17411715923924859</v>
      </c>
      <c r="AK51" s="14">
        <f t="shared" si="33"/>
        <v>0.97474311888190457</v>
      </c>
      <c r="AL51" s="14">
        <f t="shared" si="34"/>
        <v>1.8206576625135897E-2</v>
      </c>
      <c r="AM51" s="14">
        <f t="shared" si="35"/>
        <v>3.4336525732356154E-3</v>
      </c>
      <c r="AN51" s="14">
        <f t="shared" si="36"/>
        <v>1.3439439370968843E-3</v>
      </c>
      <c r="AO51" s="14">
        <f t="shared" si="37"/>
        <v>1.5278689700439605E-4</v>
      </c>
      <c r="AP51" s="14">
        <f t="shared" si="38"/>
        <v>1.9367948748412234E-4</v>
      </c>
      <c r="AQ51" s="14">
        <f t="shared" si="39"/>
        <v>8.1565113699001138E-4</v>
      </c>
    </row>
    <row r="52" spans="1:43" x14ac:dyDescent="0.25">
      <c r="A52" s="10">
        <f t="shared" si="12"/>
        <v>48</v>
      </c>
      <c r="B52" s="15">
        <v>41944</v>
      </c>
      <c r="C52" s="10">
        <v>2996</v>
      </c>
      <c r="D52" s="11">
        <v>70326316.719999999</v>
      </c>
      <c r="E52" s="12">
        <f t="shared" si="43"/>
        <v>0.73256557611571049</v>
      </c>
      <c r="F52" s="11">
        <v>394588.14</v>
      </c>
      <c r="G52" s="11"/>
      <c r="H52" s="11"/>
      <c r="I52" s="11"/>
      <c r="J52" s="11"/>
      <c r="K52" s="11"/>
      <c r="L52" s="11"/>
      <c r="M52" s="17">
        <f>IF(F52&gt;0.01,F52,#REF!)/D51</f>
        <v>5.562127272380867E-3</v>
      </c>
      <c r="N52" s="17">
        <f t="shared" ref="N52" si="61">1-(+M52-1)^12</f>
        <v>6.4741055474572096E-2</v>
      </c>
      <c r="O52" s="20">
        <f t="shared" ref="O52" si="62">AVERAGE(N50:N52)</f>
        <v>6.3884265300324275E-2</v>
      </c>
      <c r="P52" s="20">
        <f t="shared" ref="P52" si="63">AVERAGE(N47:N52)</f>
        <v>5.9318945171546421E-2</v>
      </c>
      <c r="Q52" s="17">
        <f t="shared" ref="Q52" si="64">AVERAGE(N41:N52)</f>
        <v>5.549111878496546E-2</v>
      </c>
      <c r="R52" s="11">
        <v>1065541.8799999999</v>
      </c>
      <c r="S52" s="18">
        <v>68811871</v>
      </c>
      <c r="T52" s="18">
        <v>1010771</v>
      </c>
      <c r="U52" s="18">
        <v>324899</v>
      </c>
      <c r="V52" s="18">
        <v>17546</v>
      </c>
      <c r="W52" s="18">
        <v>0</v>
      </c>
      <c r="X52" s="18">
        <v>10839</v>
      </c>
      <c r="Y52" s="11">
        <v>13739.84</v>
      </c>
      <c r="Z52" s="11">
        <f t="shared" si="41"/>
        <v>453862.84</v>
      </c>
      <c r="AA52" s="14">
        <f t="shared" si="42"/>
        <v>4.7277364771694036E-3</v>
      </c>
      <c r="AB52" s="11">
        <v>57765207.229999997</v>
      </c>
      <c r="AC52" s="14">
        <f t="shared" si="40"/>
        <v>0.66857878738425924</v>
      </c>
      <c r="AD52" s="13">
        <f t="shared" si="30"/>
        <v>48137672.691666663</v>
      </c>
      <c r="AE52" s="11">
        <v>9600000</v>
      </c>
      <c r="AF52" s="12">
        <f t="shared" ref="AF52:AF53" si="65">+AE52/$AE$4</f>
        <v>1</v>
      </c>
      <c r="AG52" s="12">
        <f t="shared" si="31"/>
        <v>0.82138820748978925</v>
      </c>
      <c r="AH52" s="11">
        <v>591867.80000000005</v>
      </c>
      <c r="AI52" s="14">
        <f t="shared" si="32"/>
        <v>0.18702781410219146</v>
      </c>
      <c r="AK52" s="14">
        <f t="shared" si="33"/>
        <v>0.97846544806221436</v>
      </c>
      <c r="AL52" s="14">
        <f t="shared" si="34"/>
        <v>1.4372585500593241E-2</v>
      </c>
      <c r="AM52" s="14">
        <f t="shared" si="35"/>
        <v>4.6198779511454555E-3</v>
      </c>
      <c r="AN52" s="14">
        <f t="shared" si="36"/>
        <v>2.4949408441022648E-4</v>
      </c>
      <c r="AO52" s="14">
        <f t="shared" si="37"/>
        <v>0</v>
      </c>
      <c r="AP52" s="14">
        <f t="shared" si="38"/>
        <v>1.541243805381537E-4</v>
      </c>
      <c r="AQ52" s="14">
        <f t="shared" si="39"/>
        <v>1.9537266617707775E-4</v>
      </c>
    </row>
    <row r="53" spans="1:43" x14ac:dyDescent="0.25">
      <c r="A53" s="10">
        <f t="shared" si="12"/>
        <v>49</v>
      </c>
      <c r="B53" s="15">
        <v>41974</v>
      </c>
      <c r="C53" s="10">
        <v>2986</v>
      </c>
      <c r="D53" s="11">
        <v>69911708.040000007</v>
      </c>
      <c r="E53" s="12">
        <f t="shared" si="43"/>
        <v>0.72824673701404041</v>
      </c>
      <c r="F53" s="11">
        <v>231286.19</v>
      </c>
      <c r="G53" s="11"/>
      <c r="H53" s="11"/>
      <c r="I53" s="11"/>
      <c r="J53" s="11"/>
      <c r="K53" s="11"/>
      <c r="L53" s="11"/>
      <c r="M53" s="17">
        <f>IF(F53&gt;0.01,F53,#REF!)/D52</f>
        <v>3.288757335619496E-3</v>
      </c>
      <c r="N53" s="17">
        <f t="shared" ref="N53" si="66">1-(+M53-1)^12</f>
        <v>3.8759004995607138E-2</v>
      </c>
      <c r="O53" s="20">
        <f t="shared" ref="O53" si="67">AVERAGE(N51:N53)</f>
        <v>5.2336698954250159E-2</v>
      </c>
      <c r="P53" s="20">
        <f t="shared" ref="P53" si="68">AVERAGE(N48:N53)</f>
        <v>5.692998755447979E-2</v>
      </c>
      <c r="Q53" s="17">
        <f t="shared" ref="Q53" si="69">AVERAGE(N42:N53)</f>
        <v>5.4683120200468539E-2</v>
      </c>
      <c r="R53" s="11">
        <v>0</v>
      </c>
      <c r="S53" s="18">
        <v>67956372</v>
      </c>
      <c r="T53" s="18">
        <v>1383289</v>
      </c>
      <c r="U53" s="18">
        <v>301173</v>
      </c>
      <c r="V53" s="18">
        <v>79982</v>
      </c>
      <c r="W53" s="18">
        <v>30663</v>
      </c>
      <c r="X53" s="18">
        <v>0</v>
      </c>
      <c r="Y53" s="11">
        <v>10839.45</v>
      </c>
      <c r="Z53" s="11">
        <f t="shared" si="41"/>
        <v>464702.29000000004</v>
      </c>
      <c r="AA53" s="14">
        <f t="shared" si="42"/>
        <v>4.840647380290386E-3</v>
      </c>
      <c r="AB53" s="11">
        <v>57392059.420000002</v>
      </c>
      <c r="AC53" s="14">
        <f t="shared" si="40"/>
        <v>0.66425994699074076</v>
      </c>
      <c r="AD53" s="13">
        <f t="shared" si="30"/>
        <v>47826716.183333337</v>
      </c>
      <c r="AE53" s="11">
        <v>9600000</v>
      </c>
      <c r="AF53" s="12">
        <f t="shared" si="65"/>
        <v>1</v>
      </c>
      <c r="AG53" s="12">
        <f t="shared" si="31"/>
        <v>0.82092200332400855</v>
      </c>
      <c r="AH53" s="11">
        <v>577652.06999999995</v>
      </c>
      <c r="AI53" s="14">
        <f t="shared" si="32"/>
        <v>0.18734059082788213</v>
      </c>
      <c r="AK53" s="14">
        <f t="shared" si="33"/>
        <v>0.97203135075914238</v>
      </c>
      <c r="AL53" s="14">
        <f t="shared" si="34"/>
        <v>1.9786228069389334E-2</v>
      </c>
      <c r="AM53" s="14">
        <f t="shared" si="35"/>
        <v>4.307905048288675E-3</v>
      </c>
      <c r="AN53" s="14">
        <f t="shared" si="36"/>
        <v>1.1440429971220024E-3</v>
      </c>
      <c r="AO53" s="14">
        <f t="shared" si="37"/>
        <v>4.3859606437388364E-4</v>
      </c>
      <c r="AP53" s="14">
        <f t="shared" si="38"/>
        <v>0</v>
      </c>
      <c r="AQ53" s="14">
        <f t="shared" si="39"/>
        <v>1.5504484590475471E-4</v>
      </c>
    </row>
    <row r="54" spans="1:43" x14ac:dyDescent="0.25">
      <c r="A54" s="10">
        <f t="shared" si="12"/>
        <v>50</v>
      </c>
      <c r="B54" s="15">
        <v>42005</v>
      </c>
      <c r="C54" s="10">
        <v>2974</v>
      </c>
      <c r="D54" s="11">
        <v>69381220.959999993</v>
      </c>
      <c r="E54" s="12">
        <f t="shared" si="43"/>
        <v>0.72272083161322997</v>
      </c>
      <c r="F54" s="11">
        <v>306141.62</v>
      </c>
      <c r="G54" s="11"/>
      <c r="H54" s="11"/>
      <c r="I54" s="11"/>
      <c r="J54" s="11"/>
      <c r="K54" s="11"/>
      <c r="L54" s="11"/>
      <c r="M54" s="17">
        <f>IF(F54&gt;0.01,F54,#REF!)/D53</f>
        <v>4.3789749754767964E-3</v>
      </c>
      <c r="N54" s="17">
        <f t="shared" ref="N54" si="70">1-(+M54-1)^12</f>
        <v>5.1300414235694647E-2</v>
      </c>
      <c r="O54" s="20">
        <f t="shared" ref="O54" si="71">AVERAGE(N52:N54)</f>
        <v>5.1600158235291294E-2</v>
      </c>
      <c r="P54" s="20">
        <f t="shared" ref="P54" si="72">AVERAGE(N49:N54)</f>
        <v>5.8215863674040504E-2</v>
      </c>
      <c r="Q54" s="17">
        <f t="shared" ref="Q54" si="73">AVERAGE(N43:N54)</f>
        <v>5.5422508009400524E-2</v>
      </c>
      <c r="R54" s="11"/>
      <c r="S54" s="18">
        <v>68081164</v>
      </c>
      <c r="T54" s="18">
        <v>873124</v>
      </c>
      <c r="U54" s="18">
        <v>178261</v>
      </c>
      <c r="V54" s="18">
        <v>70849</v>
      </c>
      <c r="W54" s="18">
        <v>16593</v>
      </c>
      <c r="X54" s="18">
        <v>0</v>
      </c>
      <c r="Y54" s="11">
        <v>0</v>
      </c>
      <c r="Z54" s="11">
        <f t="shared" si="41"/>
        <v>464702.29000000004</v>
      </c>
      <c r="AA54" s="14">
        <f t="shared" si="42"/>
        <v>4.840647380290386E-3</v>
      </c>
      <c r="AB54" s="11">
        <v>56914621.5</v>
      </c>
      <c r="AC54" s="14">
        <f t="shared" si="40"/>
        <v>0.65873404513888889</v>
      </c>
      <c r="AD54" s="13">
        <f t="shared" si="30"/>
        <v>47428851.25</v>
      </c>
      <c r="AE54" s="11">
        <v>9600000</v>
      </c>
      <c r="AF54" s="12">
        <f t="shared" ref="AF54" si="74">+AE54/$AE$4</f>
        <v>1</v>
      </c>
      <c r="AG54" s="12">
        <f t="shared" si="31"/>
        <v>0.82031738145416466</v>
      </c>
      <c r="AH54" s="11">
        <v>573920.59</v>
      </c>
      <c r="AI54" s="14">
        <f t="shared" si="32"/>
        <v>0.187954606009574</v>
      </c>
      <c r="AK54" s="14">
        <f t="shared" si="33"/>
        <v>0.98126212046989614</v>
      </c>
      <c r="AL54" s="14">
        <f t="shared" si="34"/>
        <v>1.2584442705373804E-2</v>
      </c>
      <c r="AM54" s="14">
        <f t="shared" si="35"/>
        <v>2.5692975351755761E-3</v>
      </c>
      <c r="AN54" s="14">
        <f t="shared" si="36"/>
        <v>1.0211552783259063E-3</v>
      </c>
      <c r="AO54" s="14">
        <f t="shared" si="37"/>
        <v>2.3915693281855444E-4</v>
      </c>
      <c r="AP54" s="14">
        <f t="shared" si="38"/>
        <v>0</v>
      </c>
      <c r="AQ54" s="14">
        <f t="shared" si="39"/>
        <v>0</v>
      </c>
    </row>
    <row r="55" spans="1:43" x14ac:dyDescent="0.25">
      <c r="A55" s="10">
        <f t="shared" si="12"/>
        <v>51</v>
      </c>
      <c r="B55" s="15">
        <v>42036</v>
      </c>
      <c r="C55" s="10">
        <v>2947</v>
      </c>
      <c r="D55" s="11">
        <v>68533843.780000001</v>
      </c>
      <c r="E55" s="12">
        <f t="shared" ref="E55:E80" si="75">+D55/D$4</f>
        <v>0.71389398867581988</v>
      </c>
      <c r="F55" s="11">
        <v>628579.97</v>
      </c>
      <c r="G55" s="11"/>
      <c r="H55" s="11"/>
      <c r="I55" s="11"/>
      <c r="J55" s="11"/>
      <c r="K55" s="11"/>
      <c r="L55" s="11"/>
      <c r="M55" s="17">
        <f>IF(F55&gt;0.01,F55,#REF!)/D54</f>
        <v>9.0597997743855213E-3</v>
      </c>
      <c r="N55" s="17">
        <f t="shared" ref="N55" si="76">1-(+M55-1)^12</f>
        <v>0.10346063028728347</v>
      </c>
      <c r="O55" s="20">
        <f t="shared" ref="O55" si="77">AVERAGE(N53:N55)</f>
        <v>6.4506683172861748E-2</v>
      </c>
      <c r="P55" s="20">
        <f t="shared" ref="P55" si="78">AVERAGE(N50:N55)</f>
        <v>6.4195474236593011E-2</v>
      </c>
      <c r="Q55" s="17">
        <f t="shared" ref="Q55" si="79">AVERAGE(N44:N55)</f>
        <v>6.011821023962071E-2</v>
      </c>
      <c r="R55" s="11"/>
      <c r="S55" s="18">
        <v>67317212</v>
      </c>
      <c r="T55" s="18">
        <v>829703</v>
      </c>
      <c r="U55" s="18">
        <v>188155</v>
      </c>
      <c r="V55" s="18">
        <v>0</v>
      </c>
      <c r="W55" s="18">
        <v>20952</v>
      </c>
      <c r="X55" s="18">
        <v>0</v>
      </c>
      <c r="Y55" s="11">
        <v>0</v>
      </c>
      <c r="Z55" s="11">
        <f t="shared" ref="Z55:Z56" si="80">+Z54+Y55</f>
        <v>464702.29000000004</v>
      </c>
      <c r="AA55" s="14">
        <f t="shared" si="42"/>
        <v>4.840647380290386E-3</v>
      </c>
      <c r="AB55" s="11">
        <v>56111786.350000001</v>
      </c>
      <c r="AC55" s="14">
        <f t="shared" si="40"/>
        <v>0.64944197164351858</v>
      </c>
      <c r="AD55" s="13">
        <f t="shared" si="30"/>
        <v>46759821.958333336</v>
      </c>
      <c r="AE55" s="11">
        <v>9600000</v>
      </c>
      <c r="AF55" s="12">
        <f t="shared" ref="AF55:AF57" si="81">+AE55/$AE$4</f>
        <v>1</v>
      </c>
      <c r="AG55" s="12">
        <f t="shared" si="31"/>
        <v>0.81874564821030682</v>
      </c>
      <c r="AH55" s="11">
        <v>569146.21</v>
      </c>
      <c r="AI55" s="14">
        <f t="shared" si="32"/>
        <v>0.18955895253304283</v>
      </c>
      <c r="AK55" s="14">
        <f t="shared" si="33"/>
        <v>0.98224772298040797</v>
      </c>
      <c r="AL55" s="14">
        <f t="shared" si="34"/>
        <v>1.2106471113212672E-2</v>
      </c>
      <c r="AM55" s="14">
        <f t="shared" si="35"/>
        <v>2.7454318862370395E-3</v>
      </c>
      <c r="AN55" s="14">
        <f t="shared" si="36"/>
        <v>0</v>
      </c>
      <c r="AO55" s="14">
        <f t="shared" si="37"/>
        <v>3.0571756732714224E-4</v>
      </c>
      <c r="AP55" s="14">
        <f t="shared" si="38"/>
        <v>0</v>
      </c>
      <c r="AQ55" s="14">
        <f t="shared" si="39"/>
        <v>0</v>
      </c>
    </row>
    <row r="56" spans="1:43" x14ac:dyDescent="0.25">
      <c r="A56" s="10">
        <f t="shared" si="12"/>
        <v>52</v>
      </c>
      <c r="B56" s="15">
        <v>42064</v>
      </c>
      <c r="C56" s="10">
        <v>2940</v>
      </c>
      <c r="D56" s="11">
        <v>68181350.540000007</v>
      </c>
      <c r="E56" s="12">
        <f t="shared" si="75"/>
        <v>0.71022218521047431</v>
      </c>
      <c r="F56" s="11">
        <v>140695.14000000001</v>
      </c>
      <c r="G56" s="11"/>
      <c r="H56" s="11"/>
      <c r="I56" s="11"/>
      <c r="J56" s="11"/>
      <c r="K56" s="11"/>
      <c r="L56" s="11"/>
      <c r="M56" s="17">
        <f>IF(F56&gt;0.01,F56,#REF!)/D55</f>
        <v>2.0529293592760458E-3</v>
      </c>
      <c r="N56" s="17">
        <f t="shared" ref="N56" si="82">1-(+M56-1)^12</f>
        <v>2.435888876100667E-2</v>
      </c>
      <c r="O56" s="20">
        <f t="shared" ref="O56" si="83">AVERAGE(N54:N56)</f>
        <v>5.9706644427994927E-2</v>
      </c>
      <c r="P56" s="20">
        <f t="shared" ref="P56" si="84">AVERAGE(N51:N56)</f>
        <v>5.6021671691122543E-2</v>
      </c>
      <c r="Q56" s="17">
        <f t="shared" ref="Q56" si="85">AVERAGE(N45:N56)</f>
        <v>5.6194973078312456E-2</v>
      </c>
      <c r="R56" s="11"/>
      <c r="S56" s="18">
        <v>66549650</v>
      </c>
      <c r="T56" s="18">
        <v>1155524</v>
      </c>
      <c r="U56" s="18">
        <v>201060</v>
      </c>
      <c r="V56" s="18">
        <v>59508</v>
      </c>
      <c r="W56" s="18">
        <v>37786</v>
      </c>
      <c r="X56" s="18">
        <v>0</v>
      </c>
      <c r="Y56" s="11">
        <v>16593.18</v>
      </c>
      <c r="Z56" s="11">
        <f t="shared" si="80"/>
        <v>481295.47000000003</v>
      </c>
      <c r="AA56" s="14">
        <f t="shared" si="42"/>
        <v>5.0134929526625101E-3</v>
      </c>
      <c r="AB56" s="11">
        <v>55794542.43</v>
      </c>
      <c r="AC56" s="14">
        <f t="shared" si="40"/>
        <v>0.6457701670138889</v>
      </c>
      <c r="AD56" s="13">
        <f t="shared" si="30"/>
        <v>46495452.024999999</v>
      </c>
      <c r="AE56" s="11">
        <v>9600000</v>
      </c>
      <c r="AF56" s="12">
        <f t="shared" si="81"/>
        <v>1</v>
      </c>
      <c r="AG56" s="12">
        <f t="shared" si="31"/>
        <v>0.81832556832776393</v>
      </c>
      <c r="AH56" s="11">
        <v>561117.86</v>
      </c>
      <c r="AI56" s="14">
        <f t="shared" si="32"/>
        <v>0.18990421673158023</v>
      </c>
      <c r="AK56" s="14">
        <f t="shared" si="33"/>
        <v>0.97606822793803805</v>
      </c>
      <c r="AL56" s="14">
        <f t="shared" si="34"/>
        <v>1.6947801574010886E-2</v>
      </c>
      <c r="AM56" s="14">
        <f t="shared" si="35"/>
        <v>2.9489002257595933E-3</v>
      </c>
      <c r="AN56" s="14">
        <f t="shared" si="36"/>
        <v>8.7278998624540881E-4</v>
      </c>
      <c r="AO56" s="14">
        <f t="shared" si="37"/>
        <v>5.5419846777356012E-4</v>
      </c>
      <c r="AP56" s="14">
        <f t="shared" si="38"/>
        <v>0</v>
      </c>
      <c r="AQ56" s="14">
        <f t="shared" si="39"/>
        <v>2.4336830920157948E-4</v>
      </c>
    </row>
    <row r="57" spans="1:43" x14ac:dyDescent="0.25">
      <c r="A57" s="10">
        <f t="shared" si="12"/>
        <v>53</v>
      </c>
      <c r="B57" s="15">
        <v>42095</v>
      </c>
      <c r="C57" s="10">
        <v>2924</v>
      </c>
      <c r="D57" s="11">
        <v>67606566.319999993</v>
      </c>
      <c r="E57" s="12">
        <f t="shared" si="75"/>
        <v>0.70423485140849251</v>
      </c>
      <c r="F57" s="11">
        <v>313470.87</v>
      </c>
      <c r="G57" s="11"/>
      <c r="H57" s="11"/>
      <c r="I57" s="11"/>
      <c r="J57" s="11"/>
      <c r="K57" s="11"/>
      <c r="L57" s="11"/>
      <c r="M57" s="17">
        <f>IF(F57&gt;0.01,F57,#REF!)/D56</f>
        <v>4.5976042938031241E-3</v>
      </c>
      <c r="N57" s="17">
        <f t="shared" ref="N57" si="86">1-(+M57-1)^12</f>
        <v>5.379730674515748E-2</v>
      </c>
      <c r="O57" s="20">
        <f t="shared" ref="O57" si="87">AVERAGE(N55:N57)</f>
        <v>6.0538941931149205E-2</v>
      </c>
      <c r="P57" s="20">
        <f t="shared" ref="P57" si="88">AVERAGE(N52:N57)</f>
        <v>5.6069550083220253E-2</v>
      </c>
      <c r="Q57" s="17">
        <f t="shared" ref="Q57" si="89">AVERAGE(N46:N57)</f>
        <v>5.65683253053825E-2</v>
      </c>
      <c r="R57" s="11">
        <v>0</v>
      </c>
      <c r="S57" s="18">
        <v>66146164</v>
      </c>
      <c r="T57" s="18">
        <v>1034054</v>
      </c>
      <c r="U57" s="18">
        <v>135969</v>
      </c>
      <c r="V57" s="18">
        <v>15262</v>
      </c>
      <c r="W57" s="18">
        <v>59508</v>
      </c>
      <c r="X57" s="18">
        <v>37766</v>
      </c>
      <c r="Y57" s="11">
        <v>0</v>
      </c>
      <c r="Z57" s="11">
        <f t="shared" ref="Z57:Z58" si="90">+Z56+Y57</f>
        <v>481295.47000000003</v>
      </c>
      <c r="AA57" s="14">
        <f t="shared" si="42"/>
        <v>5.0134929526625101E-3</v>
      </c>
      <c r="AB57" s="11">
        <v>55277236.630000003</v>
      </c>
      <c r="AC57" s="14">
        <f t="shared" si="40"/>
        <v>0.63978283136574077</v>
      </c>
      <c r="AD57" s="13">
        <f t="shared" si="30"/>
        <v>46064363.858333334</v>
      </c>
      <c r="AE57" s="11">
        <v>9600000</v>
      </c>
      <c r="AF57" s="12">
        <f t="shared" si="81"/>
        <v>1</v>
      </c>
      <c r="AG57" s="12">
        <f t="shared" si="31"/>
        <v>0.8176311805033557</v>
      </c>
      <c r="AH57" s="11">
        <v>557945.42000000004</v>
      </c>
      <c r="AI57" s="14">
        <f t="shared" si="32"/>
        <v>0.19062164833222064</v>
      </c>
      <c r="AK57" s="14">
        <f t="shared" si="33"/>
        <v>0.97839851364307551</v>
      </c>
      <c r="AL57" s="14">
        <f t="shared" si="34"/>
        <v>1.5295171109645553E-2</v>
      </c>
      <c r="AM57" s="14">
        <f t="shared" si="35"/>
        <v>2.0111803838168958E-3</v>
      </c>
      <c r="AN57" s="14">
        <f t="shared" si="36"/>
        <v>2.2574730282500763E-4</v>
      </c>
      <c r="AO57" s="14">
        <f t="shared" si="37"/>
        <v>8.8021035883308573E-4</v>
      </c>
      <c r="AP57" s="14">
        <f t="shared" si="38"/>
        <v>5.5861437809521933E-4</v>
      </c>
      <c r="AQ57" s="14">
        <f t="shared" si="39"/>
        <v>0</v>
      </c>
    </row>
    <row r="58" spans="1:43" x14ac:dyDescent="0.25">
      <c r="A58" s="10">
        <f t="shared" si="12"/>
        <v>54</v>
      </c>
      <c r="B58" s="15">
        <v>42125</v>
      </c>
      <c r="C58" s="10">
        <v>2906</v>
      </c>
      <c r="D58" s="11">
        <v>66957707.770000003</v>
      </c>
      <c r="E58" s="12">
        <f t="shared" si="75"/>
        <v>0.69747591023728273</v>
      </c>
      <c r="F58" s="11">
        <v>403208.51</v>
      </c>
      <c r="G58" s="11"/>
      <c r="H58" s="11"/>
      <c r="I58" s="11"/>
      <c r="J58" s="11"/>
      <c r="K58" s="11"/>
      <c r="L58" s="11"/>
      <c r="M58" s="17">
        <f>IF(F58&gt;0.01,F58,#REF!)/D57</f>
        <v>5.9640436121471711E-3</v>
      </c>
      <c r="N58" s="17">
        <f t="shared" ref="N58" si="91">1-(+M58-1)^12</f>
        <v>6.9266965916827461E-2</v>
      </c>
      <c r="O58" s="20">
        <f t="shared" ref="O58" si="92">AVERAGE(N56:N58)</f>
        <v>4.914105380766387E-2</v>
      </c>
      <c r="P58" s="20">
        <f t="shared" ref="P58" si="93">AVERAGE(N53:N58)</f>
        <v>5.6823868490262809E-2</v>
      </c>
      <c r="Q58" s="17">
        <f t="shared" ref="Q58" si="94">AVERAGE(N47:N58)</f>
        <v>5.8071406830904615E-2</v>
      </c>
      <c r="R58" s="11">
        <v>0</v>
      </c>
      <c r="S58" s="18">
        <v>65308095</v>
      </c>
      <c r="T58" s="18">
        <v>1311495</v>
      </c>
      <c r="U58" s="18">
        <v>89249</v>
      </c>
      <c r="V58" s="18">
        <v>0</v>
      </c>
      <c r="W58" s="18">
        <v>15262</v>
      </c>
      <c r="X58" s="18">
        <v>34832</v>
      </c>
      <c r="Y58" s="11">
        <v>20951.52</v>
      </c>
      <c r="Z58" s="11">
        <f t="shared" si="90"/>
        <v>502246.99000000005</v>
      </c>
      <c r="AA58" s="14">
        <f t="shared" si="42"/>
        <v>5.2317378862114751E-3</v>
      </c>
      <c r="AB58" s="11">
        <v>54693263.939999998</v>
      </c>
      <c r="AC58" s="14">
        <f t="shared" si="40"/>
        <v>0.63302388819444444</v>
      </c>
      <c r="AD58" s="13">
        <f t="shared" si="30"/>
        <v>45577719.950000003</v>
      </c>
      <c r="AE58" s="11">
        <v>9600000</v>
      </c>
      <c r="AF58" s="12">
        <f t="shared" ref="AF58:AF60" si="95">+AE58/$AE$4</f>
        <v>1</v>
      </c>
      <c r="AG58" s="12">
        <f t="shared" si="31"/>
        <v>0.81683297952599543</v>
      </c>
      <c r="AH58" s="11">
        <v>552772.37</v>
      </c>
      <c r="AI58" s="14">
        <f t="shared" si="32"/>
        <v>0.19142256548009667</v>
      </c>
      <c r="AK58" s="14">
        <f t="shared" si="33"/>
        <v>0.97536336256213507</v>
      </c>
      <c r="AL58" s="14">
        <f t="shared" si="34"/>
        <v>1.9586916035193299E-2</v>
      </c>
      <c r="AM58" s="14">
        <f t="shared" si="35"/>
        <v>1.3329159998512893E-3</v>
      </c>
      <c r="AN58" s="14">
        <f t="shared" si="36"/>
        <v>0</v>
      </c>
      <c r="AO58" s="14">
        <f t="shared" si="37"/>
        <v>2.2793492352553394E-4</v>
      </c>
      <c r="AP58" s="14">
        <f t="shared" si="38"/>
        <v>5.202089671236665E-4</v>
      </c>
      <c r="AQ58" s="14">
        <f t="shared" si="39"/>
        <v>3.1290676903051337E-4</v>
      </c>
    </row>
    <row r="59" spans="1:43" x14ac:dyDescent="0.25">
      <c r="A59" s="10">
        <f t="shared" si="12"/>
        <v>55</v>
      </c>
      <c r="B59" s="15">
        <v>42156</v>
      </c>
      <c r="C59" s="10">
        <v>2891</v>
      </c>
      <c r="D59" s="11">
        <v>66342445.409999996</v>
      </c>
      <c r="E59" s="12">
        <f t="shared" si="75"/>
        <v>0.69106692927201718</v>
      </c>
      <c r="F59" s="11">
        <v>387077.37</v>
      </c>
      <c r="G59" s="11"/>
      <c r="H59" s="11"/>
      <c r="I59" s="11"/>
      <c r="J59" s="11"/>
      <c r="K59" s="11"/>
      <c r="L59" s="11"/>
      <c r="M59" s="17">
        <f>IF(F59&gt;0.01,F59,#REF!)/D58</f>
        <v>5.7809232557603724E-3</v>
      </c>
      <c r="N59" s="17">
        <f t="shared" ref="N59" si="96">1-(+M59-1)^12</f>
        <v>6.7207374933741071E-2</v>
      </c>
      <c r="O59" s="20">
        <f t="shared" ref="O59" si="97">AVERAGE(N57:N59)</f>
        <v>6.3423882531908671E-2</v>
      </c>
      <c r="P59" s="20">
        <f t="shared" ref="P59" si="98">AVERAGE(N54:N59)</f>
        <v>6.1565263479951803E-2</v>
      </c>
      <c r="Q59" s="17">
        <f t="shared" ref="Q59" si="99">AVERAGE(N48:N59)</f>
        <v>5.9247625517215796E-2</v>
      </c>
      <c r="R59" s="11">
        <v>0</v>
      </c>
      <c r="S59" s="18">
        <v>65277761</v>
      </c>
      <c r="T59" s="18">
        <v>738795</v>
      </c>
      <c r="U59" s="18">
        <v>76794</v>
      </c>
      <c r="V59" s="18">
        <v>10624</v>
      </c>
      <c r="W59" s="18">
        <v>35274</v>
      </c>
      <c r="X59" s="18">
        <v>15262</v>
      </c>
      <c r="Y59" s="11">
        <v>0</v>
      </c>
      <c r="Z59" s="11">
        <f t="shared" ref="Z59" si="100">+Z58+Y59</f>
        <v>502246.99000000005</v>
      </c>
      <c r="AA59" s="14">
        <f t="shared" si="42"/>
        <v>5.2317378862114751E-3</v>
      </c>
      <c r="AB59" s="11">
        <v>54139527.82</v>
      </c>
      <c r="AC59" s="14">
        <f t="shared" si="40"/>
        <v>0.62661490532407405</v>
      </c>
      <c r="AD59" s="13">
        <f t="shared" si="30"/>
        <v>45116273.183333337</v>
      </c>
      <c r="AE59" s="11">
        <v>9600000</v>
      </c>
      <c r="AF59" s="12">
        <f t="shared" si="95"/>
        <v>1</v>
      </c>
      <c r="AG59" s="12">
        <f t="shared" si="31"/>
        <v>0.81606168547774671</v>
      </c>
      <c r="AH59" s="11">
        <v>546932.64</v>
      </c>
      <c r="AI59" s="14">
        <f t="shared" si="32"/>
        <v>0.19218239772750634</v>
      </c>
      <c r="AK59" s="14">
        <f t="shared" si="33"/>
        <v>0.98395168578094783</v>
      </c>
      <c r="AL59" s="14">
        <f t="shared" si="34"/>
        <v>1.113608332394451E-2</v>
      </c>
      <c r="AM59" s="14">
        <f t="shared" si="35"/>
        <v>1.1575394835901633E-3</v>
      </c>
      <c r="AN59" s="14">
        <f t="shared" si="36"/>
        <v>1.6013880607419715E-4</v>
      </c>
      <c r="AO59" s="14">
        <f t="shared" si="37"/>
        <v>5.316958062369381E-4</v>
      </c>
      <c r="AP59" s="14">
        <f t="shared" si="38"/>
        <v>2.3004880066871205E-4</v>
      </c>
      <c r="AQ59" s="14">
        <f t="shared" si="39"/>
        <v>0</v>
      </c>
    </row>
    <row r="60" spans="1:43" x14ac:dyDescent="0.25">
      <c r="A60" s="10">
        <f t="shared" si="12"/>
        <v>56</v>
      </c>
      <c r="B60" s="15">
        <v>42200</v>
      </c>
      <c r="C60" s="10">
        <v>2878</v>
      </c>
      <c r="D60" s="11">
        <v>65820481.159999996</v>
      </c>
      <c r="E60" s="12">
        <f t="shared" si="75"/>
        <v>0.68562980332334211</v>
      </c>
      <c r="F60" s="11">
        <v>306837.5</v>
      </c>
      <c r="G60" s="11"/>
      <c r="H60" s="11"/>
      <c r="I60" s="11"/>
      <c r="J60" s="11"/>
      <c r="K60" s="11"/>
      <c r="L60" s="11"/>
      <c r="M60" s="17">
        <f>IF(F60&gt;0.01,F60,#REF!)/D59</f>
        <v>4.6250556201799199E-3</v>
      </c>
      <c r="N60" s="17">
        <f t="shared" ref="N60" si="101">1-(+M60-1)^12</f>
        <v>5.4110393146627467E-2</v>
      </c>
      <c r="O60" s="20">
        <f t="shared" ref="O60" si="102">AVERAGE(N58:N60)</f>
        <v>6.3528244665731995E-2</v>
      </c>
      <c r="P60" s="20">
        <f t="shared" ref="P60" si="103">AVERAGE(N55:N60)</f>
        <v>6.2033593298440604E-2</v>
      </c>
      <c r="Q60" s="17">
        <f t="shared" ref="Q60" si="104">AVERAGE(N49:N60)</f>
        <v>6.0124728486240557E-2</v>
      </c>
      <c r="R60" s="11">
        <v>0</v>
      </c>
      <c r="S60" s="18">
        <v>64768893</v>
      </c>
      <c r="T60" s="18">
        <v>638871</v>
      </c>
      <c r="U60" s="18">
        <v>157184</v>
      </c>
      <c r="V60" s="18">
        <v>17063</v>
      </c>
      <c r="W60" s="18">
        <v>0</v>
      </c>
      <c r="X60" s="18">
        <v>35274</v>
      </c>
      <c r="Y60" s="11">
        <v>15262.37</v>
      </c>
      <c r="Z60" s="11">
        <f>+Z59+Y60</f>
        <v>517509.36000000004</v>
      </c>
      <c r="AA60" s="14">
        <f t="shared" si="42"/>
        <v>5.3907208586378057E-3</v>
      </c>
      <c r="AB60" s="11">
        <v>53669759.990000002</v>
      </c>
      <c r="AC60" s="14">
        <f t="shared" si="40"/>
        <v>0.62117777766203708</v>
      </c>
      <c r="AD60" s="13">
        <f t="shared" si="30"/>
        <v>44724799.991666667</v>
      </c>
      <c r="AE60" s="11">
        <v>9600000</v>
      </c>
      <c r="AF60" s="12">
        <f t="shared" si="95"/>
        <v>1</v>
      </c>
      <c r="AG60" s="12">
        <f t="shared" si="31"/>
        <v>0.81539604457671222</v>
      </c>
      <c r="AH60" s="11">
        <v>541395.28</v>
      </c>
      <c r="AI60" s="14">
        <f t="shared" si="32"/>
        <v>0.1928292869684029</v>
      </c>
      <c r="AK60" s="14">
        <f t="shared" si="33"/>
        <v>0.98402338996210403</v>
      </c>
      <c r="AL60" s="14">
        <f t="shared" si="34"/>
        <v>9.7062645052228905E-3</v>
      </c>
      <c r="AM60" s="14">
        <f t="shared" si="35"/>
        <v>2.3880712694565177E-3</v>
      </c>
      <c r="AN60" s="14">
        <f t="shared" si="36"/>
        <v>2.5923541881321612E-4</v>
      </c>
      <c r="AO60" s="14">
        <f t="shared" si="37"/>
        <v>0</v>
      </c>
      <c r="AP60" s="14">
        <f t="shared" si="38"/>
        <v>5.3591221726644695E-4</v>
      </c>
      <c r="AQ60" s="14">
        <f t="shared" si="39"/>
        <v>2.3187873639056821E-4</v>
      </c>
    </row>
    <row r="61" spans="1:43" x14ac:dyDescent="0.25">
      <c r="A61" s="10">
        <f t="shared" si="12"/>
        <v>57</v>
      </c>
      <c r="B61" s="15">
        <v>42231</v>
      </c>
      <c r="C61" s="10">
        <v>2859</v>
      </c>
      <c r="D61" s="11">
        <v>65092254.770000003</v>
      </c>
      <c r="E61" s="12">
        <f t="shared" si="75"/>
        <v>0.67804411407052656</v>
      </c>
      <c r="F61" s="11">
        <v>508715.87</v>
      </c>
      <c r="G61" s="11"/>
      <c r="H61" s="11"/>
      <c r="I61" s="11"/>
      <c r="J61" s="11"/>
      <c r="K61" s="11"/>
      <c r="L61" s="11"/>
      <c r="M61" s="17">
        <f>IF(F61&gt;0.01,F61,#REF!)/D60</f>
        <v>7.7288385170473893E-3</v>
      </c>
      <c r="N61" s="17">
        <f t="shared" ref="N61" si="105">1-(+M61-1)^12</f>
        <v>8.890338118564467E-2</v>
      </c>
      <c r="O61" s="20">
        <f t="shared" ref="O61" si="106">AVERAGE(N59:N61)</f>
        <v>7.0073716422004398E-2</v>
      </c>
      <c r="P61" s="20">
        <f t="shared" ref="P61" si="107">AVERAGE(N56:N61)</f>
        <v>5.9607385114834134E-2</v>
      </c>
      <c r="Q61" s="17">
        <f t="shared" ref="Q61" si="108">AVERAGE(N50:N61)</f>
        <v>6.1901429675713576E-2</v>
      </c>
      <c r="R61" s="11">
        <v>0</v>
      </c>
      <c r="S61" s="18">
        <v>64049822</v>
      </c>
      <c r="T61" s="18">
        <v>624594</v>
      </c>
      <c r="U61" s="18">
        <v>176200</v>
      </c>
      <c r="V61" s="18">
        <v>10509</v>
      </c>
      <c r="W61" s="18">
        <v>17063</v>
      </c>
      <c r="X61" s="18">
        <v>0</v>
      </c>
      <c r="Y61" s="11">
        <v>24609.23</v>
      </c>
      <c r="Z61" s="11">
        <f>+Z60+Y61</f>
        <v>542118.59000000008</v>
      </c>
      <c r="AA61" s="14">
        <f t="shared" si="42"/>
        <v>5.6470669264191021E-3</v>
      </c>
      <c r="AB61" s="11">
        <v>53014356.240000002</v>
      </c>
      <c r="AC61" s="14">
        <f t="shared" si="40"/>
        <v>0.61359208611111116</v>
      </c>
      <c r="AD61" s="13">
        <f t="shared" si="30"/>
        <v>44178630.200000003</v>
      </c>
      <c r="AE61" s="11">
        <v>9600000</v>
      </c>
      <c r="AF61" s="12">
        <f t="shared" ref="AF61:AF65" si="109">+AE61/$AE$4</f>
        <v>1</v>
      </c>
      <c r="AG61" s="12">
        <f t="shared" si="31"/>
        <v>0.81444952901575451</v>
      </c>
      <c r="AH61" s="11">
        <v>536832.81000000006</v>
      </c>
      <c r="AI61" s="14">
        <f t="shared" si="32"/>
        <v>0.19379773192023353</v>
      </c>
      <c r="AK61" s="14">
        <f t="shared" si="33"/>
        <v>0.98398530249592087</v>
      </c>
      <c r="AL61" s="14">
        <f t="shared" si="34"/>
        <v>9.5955195008525888E-3</v>
      </c>
      <c r="AM61" s="14">
        <f t="shared" si="35"/>
        <v>2.7069272776399167E-3</v>
      </c>
      <c r="AN61" s="14">
        <f t="shared" si="36"/>
        <v>1.6144777957274623E-4</v>
      </c>
      <c r="AO61" s="14">
        <f t="shared" si="37"/>
        <v>2.6213564210198582E-4</v>
      </c>
      <c r="AP61" s="14">
        <f t="shared" si="38"/>
        <v>0</v>
      </c>
      <c r="AQ61" s="14">
        <f t="shared" si="39"/>
        <v>3.78066946473976E-4</v>
      </c>
    </row>
    <row r="62" spans="1:43" x14ac:dyDescent="0.25">
      <c r="A62" s="10">
        <f t="shared" si="12"/>
        <v>58</v>
      </c>
      <c r="B62" s="15">
        <f t="shared" ref="B62:B179" si="110">DATE(YEAR(B61),MONTH(B61)+1,15)</f>
        <v>42262</v>
      </c>
      <c r="C62" s="10">
        <v>2841</v>
      </c>
      <c r="D62" s="11">
        <v>64456345.229999997</v>
      </c>
      <c r="E62" s="12">
        <f t="shared" si="75"/>
        <v>0.67142005837908003</v>
      </c>
      <c r="F62" s="11">
        <v>407193</v>
      </c>
      <c r="G62" s="11"/>
      <c r="H62" s="11"/>
      <c r="I62" s="11"/>
      <c r="J62" s="11"/>
      <c r="K62" s="11"/>
      <c r="L62" s="11"/>
      <c r="M62" s="17">
        <f>IF(F62&gt;0.01,F62,#REF!)/D61</f>
        <v>6.2556290520092549E-3</v>
      </c>
      <c r="N62" s="17">
        <f t="shared" ref="N62" si="111">1-(+M62-1)^12</f>
        <v>7.2537883254440771E-2</v>
      </c>
      <c r="O62" s="20">
        <f t="shared" ref="O62" si="112">AVERAGE(N60:N62)</f>
        <v>7.1850552528904307E-2</v>
      </c>
      <c r="P62" s="20">
        <f t="shared" ref="P62" si="113">AVERAGE(N57:N62)</f>
        <v>6.7637217530406482E-2</v>
      </c>
      <c r="Q62" s="17">
        <f t="shared" ref="Q62" si="114">AVERAGE(N51:N62)</f>
        <v>6.1829444610764513E-2</v>
      </c>
      <c r="R62" s="11">
        <v>489005.52</v>
      </c>
      <c r="S62" s="18">
        <v>63773676</v>
      </c>
      <c r="T62" s="18">
        <v>308909</v>
      </c>
      <c r="U62" s="18">
        <v>102675</v>
      </c>
      <c r="V62" s="18">
        <v>39956</v>
      </c>
      <c r="W62" s="18">
        <v>0</v>
      </c>
      <c r="X62" s="18">
        <v>17063</v>
      </c>
      <c r="Y62" s="11">
        <v>0</v>
      </c>
      <c r="Z62" s="11">
        <f t="shared" ref="Z62:Z63" si="115">+Z61+Y62</f>
        <v>542118.59000000008</v>
      </c>
      <c r="AA62" s="14">
        <f t="shared" si="42"/>
        <v>5.6470669264191021E-3</v>
      </c>
      <c r="AB62" s="11">
        <v>52006296.810000002</v>
      </c>
      <c r="AC62" s="14">
        <f t="shared" si="40"/>
        <v>0.60192473159722226</v>
      </c>
      <c r="AD62" s="13">
        <f t="shared" si="30"/>
        <v>43338580.675000004</v>
      </c>
      <c r="AE62" s="11">
        <v>9600000</v>
      </c>
      <c r="AF62" s="12">
        <f t="shared" si="109"/>
        <v>1</v>
      </c>
      <c r="AG62" s="12">
        <f t="shared" si="31"/>
        <v>0.80684526285853775</v>
      </c>
      <c r="AH62" s="11">
        <v>530143.56000000006</v>
      </c>
      <c r="AI62" s="14">
        <f t="shared" si="32"/>
        <v>0.20137958386692098</v>
      </c>
      <c r="AK62" s="14">
        <f t="shared" si="33"/>
        <v>0.98940881262249625</v>
      </c>
      <c r="AL62" s="14">
        <f t="shared" si="34"/>
        <v>4.7925304932775513E-3</v>
      </c>
      <c r="AM62" s="14">
        <f t="shared" si="35"/>
        <v>1.5929385948524404E-3</v>
      </c>
      <c r="AN62" s="14">
        <f t="shared" si="36"/>
        <v>6.1989242265326626E-4</v>
      </c>
      <c r="AO62" s="14">
        <f t="shared" si="37"/>
        <v>0</v>
      </c>
      <c r="AP62" s="14">
        <f t="shared" si="38"/>
        <v>2.6472180417791278E-4</v>
      </c>
      <c r="AQ62" s="14">
        <f t="shared" si="39"/>
        <v>0</v>
      </c>
    </row>
    <row r="63" spans="1:43" x14ac:dyDescent="0.25">
      <c r="A63" s="10">
        <f t="shared" si="12"/>
        <v>59</v>
      </c>
      <c r="B63" s="15">
        <f t="shared" si="110"/>
        <v>42292</v>
      </c>
      <c r="C63" s="10">
        <v>2828</v>
      </c>
      <c r="D63" s="11">
        <v>63918992.189999998</v>
      </c>
      <c r="E63" s="12">
        <f t="shared" si="75"/>
        <v>0.66582263258337959</v>
      </c>
      <c r="F63" s="11">
        <v>310930.33</v>
      </c>
      <c r="G63" s="11"/>
      <c r="H63" s="11"/>
      <c r="I63" s="11"/>
      <c r="J63" s="11"/>
      <c r="K63" s="11"/>
      <c r="L63" s="11"/>
      <c r="M63" s="17">
        <f>IF(F63&gt;0.01,F63,#REF!)/D62</f>
        <v>4.8238901676864445E-3</v>
      </c>
      <c r="N63" s="17">
        <f t="shared" ref="N63" si="116">1-(+M63-1)^12</f>
        <v>5.6375296887811066E-2</v>
      </c>
      <c r="O63" s="20">
        <f t="shared" ref="O63" si="117">AVERAGE(N61:N63)</f>
        <v>7.2605520442632174E-2</v>
      </c>
      <c r="P63" s="20">
        <f t="shared" ref="P63" si="118">AVERAGE(N58:N63)</f>
        <v>6.8066882554182084E-2</v>
      </c>
      <c r="Q63" s="17">
        <f t="shared" ref="Q63" si="119">AVERAGE(N52:N63)</f>
        <v>6.2068216318701165E-2</v>
      </c>
      <c r="R63" s="11">
        <v>0</v>
      </c>
      <c r="S63" s="18">
        <v>62856654</v>
      </c>
      <c r="T63" s="18">
        <v>695436</v>
      </c>
      <c r="U63" s="18">
        <v>55080</v>
      </c>
      <c r="V63" s="18">
        <v>80693</v>
      </c>
      <c r="W63" s="18">
        <v>0</v>
      </c>
      <c r="X63" s="18">
        <v>0</v>
      </c>
      <c r="Y63" s="11">
        <v>17062.96</v>
      </c>
      <c r="Z63" s="11">
        <f t="shared" si="115"/>
        <v>559181.55000000005</v>
      </c>
      <c r="AA63" s="14">
        <f t="shared" si="42"/>
        <v>5.8248060389679114E-3</v>
      </c>
      <c r="AB63" s="11">
        <v>51522679.079999998</v>
      </c>
      <c r="AC63" s="14">
        <f t="shared" si="40"/>
        <v>0.59632730416666668</v>
      </c>
      <c r="AD63" s="13">
        <f t="shared" si="30"/>
        <v>42935565.899999999</v>
      </c>
      <c r="AE63" s="19">
        <f>+AE62</f>
        <v>9600000</v>
      </c>
      <c r="AF63" s="12">
        <f t="shared" si="109"/>
        <v>1</v>
      </c>
      <c r="AG63" s="12">
        <f t="shared" si="31"/>
        <v>0.80606213137479066</v>
      </c>
      <c r="AH63" s="11">
        <v>520062.97</v>
      </c>
      <c r="AI63" s="14">
        <f t="shared" si="32"/>
        <v>0.20207415100672912</v>
      </c>
      <c r="AK63" s="14">
        <f t="shared" si="33"/>
        <v>0.98337992897569182</v>
      </c>
      <c r="AL63" s="14">
        <f t="shared" si="34"/>
        <v>1.0879958775520237E-2</v>
      </c>
      <c r="AM63" s="14">
        <f t="shared" si="35"/>
        <v>8.6171571410691237E-4</v>
      </c>
      <c r="AN63" s="14">
        <f t="shared" si="36"/>
        <v>1.2624260370085163E-3</v>
      </c>
      <c r="AO63" s="14">
        <f t="shared" si="37"/>
        <v>0</v>
      </c>
      <c r="AP63" s="14">
        <f t="shared" si="38"/>
        <v>0</v>
      </c>
      <c r="AQ63" s="14">
        <f t="shared" si="39"/>
        <v>2.6694663691317503E-4</v>
      </c>
    </row>
    <row r="64" spans="1:43" x14ac:dyDescent="0.25">
      <c r="A64" s="10">
        <v>60</v>
      </c>
      <c r="B64" s="15">
        <f t="shared" si="110"/>
        <v>42323</v>
      </c>
      <c r="C64" s="10">
        <v>2812</v>
      </c>
      <c r="D64" s="11">
        <v>63357067.780000001</v>
      </c>
      <c r="E64" s="12">
        <f t="shared" si="75"/>
        <v>0.65996925509477788</v>
      </c>
      <c r="F64" s="11">
        <v>346197.47</v>
      </c>
      <c r="G64" s="11"/>
      <c r="H64" s="11"/>
      <c r="I64" s="11"/>
      <c r="J64" s="11"/>
      <c r="K64" s="11"/>
      <c r="L64" s="11"/>
      <c r="M64" s="17">
        <f>IF(F64&gt;0.01,F64,#REF!)/D63</f>
        <v>5.4161909964244069E-3</v>
      </c>
      <c r="N64" s="17">
        <f t="shared" ref="N64:N65" si="120">1-(+M64-1)^12</f>
        <v>6.3092706029907464E-2</v>
      </c>
      <c r="O64" s="20">
        <f t="shared" ref="O64:O65" si="121">AVERAGE(N62:N64)</f>
        <v>6.4001962057386438E-2</v>
      </c>
      <c r="P64" s="20">
        <f t="shared" ref="P64:P65" si="122">AVERAGE(N59:N64)</f>
        <v>6.7037839239695418E-2</v>
      </c>
      <c r="Q64" s="17">
        <f t="shared" ref="Q64:Q65" si="123">AVERAGE(N53:N64)</f>
        <v>6.1930853864979117E-2</v>
      </c>
      <c r="R64" s="11">
        <v>0</v>
      </c>
      <c r="S64" s="18">
        <v>61965766</v>
      </c>
      <c r="T64" s="18">
        <v>900825</v>
      </c>
      <c r="U64" s="18">
        <v>178655</v>
      </c>
      <c r="V64" s="18">
        <v>0</v>
      </c>
      <c r="W64" s="18">
        <v>80693</v>
      </c>
      <c r="X64" s="18">
        <v>0</v>
      </c>
      <c r="Y64" s="11">
        <v>0</v>
      </c>
      <c r="Z64" s="11">
        <f t="shared" ref="Z64:Z65" si="124">+Z63+Y64</f>
        <v>559181.55000000005</v>
      </c>
      <c r="AA64" s="14">
        <f t="shared" si="42"/>
        <v>5.8248060389679114E-3</v>
      </c>
      <c r="AB64" s="11">
        <v>51016947.109999999</v>
      </c>
      <c r="AC64" s="14">
        <f t="shared" si="40"/>
        <v>0.5904739248842592</v>
      </c>
      <c r="AD64" s="13">
        <f t="shared" si="30"/>
        <v>42514122.591666669</v>
      </c>
      <c r="AE64" s="19">
        <f>+AE63</f>
        <v>9600000</v>
      </c>
      <c r="AF64" s="12">
        <f t="shared" si="109"/>
        <v>1</v>
      </c>
      <c r="AG64" s="12">
        <f t="shared" si="31"/>
        <v>0.80522898072162008</v>
      </c>
      <c r="AH64" s="11">
        <v>515353.33</v>
      </c>
      <c r="AI64" s="14">
        <f t="shared" si="32"/>
        <v>0.20290512882697045</v>
      </c>
      <c r="AK64" s="14">
        <f t="shared" si="33"/>
        <v>0.97804030665006259</v>
      </c>
      <c r="AL64" s="14">
        <f t="shared" si="34"/>
        <v>1.4218224289167063E-2</v>
      </c>
      <c r="AM64" s="14">
        <f t="shared" si="35"/>
        <v>2.8198116841574574E-3</v>
      </c>
      <c r="AN64" s="14">
        <f t="shared" si="36"/>
        <v>0</v>
      </c>
      <c r="AO64" s="14">
        <f t="shared" si="37"/>
        <v>1.2736227042608253E-3</v>
      </c>
      <c r="AP64" s="14">
        <f t="shared" si="38"/>
        <v>0</v>
      </c>
      <c r="AQ64" s="14">
        <f t="shared" si="39"/>
        <v>0</v>
      </c>
    </row>
    <row r="65" spans="1:43" x14ac:dyDescent="0.25">
      <c r="A65" s="10">
        <v>61</v>
      </c>
      <c r="B65" s="15">
        <f t="shared" si="110"/>
        <v>42353</v>
      </c>
      <c r="C65" s="10">
        <v>2795</v>
      </c>
      <c r="D65" s="11">
        <v>62791215.68</v>
      </c>
      <c r="E65" s="12">
        <f t="shared" si="75"/>
        <v>0.65407496418113331</v>
      </c>
      <c r="F65" s="11">
        <v>377154.55</v>
      </c>
      <c r="G65" s="11"/>
      <c r="H65" s="11"/>
      <c r="I65" s="11"/>
      <c r="J65" s="11"/>
      <c r="K65" s="11"/>
      <c r="L65" s="11"/>
      <c r="M65" s="17">
        <f>IF(F65&gt;0.01,F65,#REF!)/D64</f>
        <v>5.9528409886269512E-3</v>
      </c>
      <c r="N65" s="17">
        <f t="shared" si="120"/>
        <v>6.9141087595955386E-2</v>
      </c>
      <c r="O65" s="20">
        <f t="shared" si="121"/>
        <v>6.2869696837891301E-2</v>
      </c>
      <c r="P65" s="20">
        <f t="shared" si="122"/>
        <v>6.7360124683397804E-2</v>
      </c>
      <c r="Q65" s="17">
        <f t="shared" si="123"/>
        <v>6.4462694081674807E-2</v>
      </c>
      <c r="R65" s="11">
        <v>0</v>
      </c>
      <c r="S65" s="18">
        <v>61418521</v>
      </c>
      <c r="T65" s="18">
        <v>784606</v>
      </c>
      <c r="U65" s="18">
        <v>276266</v>
      </c>
      <c r="V65" s="18">
        <v>0</v>
      </c>
      <c r="W65" s="18">
        <v>0</v>
      </c>
      <c r="X65" s="18">
        <v>80693</v>
      </c>
      <c r="Y65" s="11">
        <v>0</v>
      </c>
      <c r="Z65" s="11">
        <f t="shared" si="124"/>
        <v>559181.55000000005</v>
      </c>
      <c r="AA65" s="14">
        <f t="shared" si="42"/>
        <v>5.8248060389679114E-3</v>
      </c>
      <c r="AB65" s="11">
        <v>50507680.219999999</v>
      </c>
      <c r="AC65" s="14">
        <f t="shared" si="40"/>
        <v>0.5845796321759259</v>
      </c>
      <c r="AD65" s="13">
        <f t="shared" si="30"/>
        <v>42089733.516666666</v>
      </c>
      <c r="AE65" s="19">
        <f>+AE64</f>
        <v>9600000</v>
      </c>
      <c r="AF65" s="12">
        <f t="shared" si="109"/>
        <v>1</v>
      </c>
      <c r="AG65" s="12">
        <f t="shared" si="31"/>
        <v>0.80437493800725213</v>
      </c>
      <c r="AH65" s="11">
        <v>510169.47</v>
      </c>
      <c r="AI65" s="14">
        <f t="shared" si="32"/>
        <v>0.20374991615387689</v>
      </c>
      <c r="AK65" s="14">
        <f t="shared" si="33"/>
        <v>0.97813874655659483</v>
      </c>
      <c r="AL65" s="14">
        <f t="shared" si="34"/>
        <v>1.249547395289417E-2</v>
      </c>
      <c r="AM65" s="14">
        <f t="shared" si="35"/>
        <v>4.3997555551069717E-3</v>
      </c>
      <c r="AN65" s="14">
        <f t="shared" si="36"/>
        <v>0</v>
      </c>
      <c r="AO65" s="14">
        <f t="shared" si="37"/>
        <v>0</v>
      </c>
      <c r="AP65" s="14">
        <f t="shared" si="38"/>
        <v>1.2851001390263256E-3</v>
      </c>
      <c r="AQ65" s="14">
        <f t="shared" si="39"/>
        <v>0</v>
      </c>
    </row>
    <row r="66" spans="1:43" x14ac:dyDescent="0.25">
      <c r="A66" s="10">
        <v>62</v>
      </c>
      <c r="B66" s="15">
        <f t="shared" si="110"/>
        <v>42384</v>
      </c>
      <c r="C66" s="10">
        <v>2783</v>
      </c>
      <c r="D66" s="11">
        <v>62292282.140000001</v>
      </c>
      <c r="E66" s="12">
        <f t="shared" si="75"/>
        <v>0.64887774138857934</v>
      </c>
      <c r="F66" s="11">
        <v>272973.12</v>
      </c>
      <c r="G66" s="11"/>
      <c r="H66" s="11"/>
      <c r="I66" s="11"/>
      <c r="J66" s="11"/>
      <c r="K66" s="11"/>
      <c r="L66" s="11"/>
      <c r="M66" s="17">
        <f>IF(F66&gt;0.01,F66,#REF!)/D65</f>
        <v>4.3473138247735231E-3</v>
      </c>
      <c r="N66" s="17">
        <f t="shared" ref="N66" si="125">1-(+M66-1)^12</f>
        <v>5.0938322549605175E-2</v>
      </c>
      <c r="O66" s="20">
        <f t="shared" ref="O66" si="126">AVERAGE(N64:N66)</f>
        <v>6.1057372058489344E-2</v>
      </c>
      <c r="P66" s="20">
        <f t="shared" ref="P66" si="127">AVERAGE(N61:N66)</f>
        <v>6.6831446250560755E-2</v>
      </c>
      <c r="Q66" s="17">
        <f t="shared" ref="Q66" si="128">AVERAGE(N55:N66)</f>
        <v>6.4432519774500679E-2</v>
      </c>
      <c r="R66" s="11">
        <v>452522.97</v>
      </c>
      <c r="S66" s="18">
        <v>61155877</v>
      </c>
      <c r="T66" s="18">
        <v>675227</v>
      </c>
      <c r="U66" s="18">
        <v>149365</v>
      </c>
      <c r="V66" s="18">
        <v>0</v>
      </c>
      <c r="W66" s="18">
        <v>0</v>
      </c>
      <c r="X66" s="18">
        <v>0</v>
      </c>
      <c r="Y66" s="11">
        <v>77569.070000000007</v>
      </c>
      <c r="Z66" s="19">
        <v>636750.61</v>
      </c>
      <c r="AA66" s="14">
        <f t="shared" si="42"/>
        <v>6.6328168346121239E-3</v>
      </c>
      <c r="AB66" s="11">
        <v>49636710.329999998</v>
      </c>
      <c r="AC66" s="14">
        <f t="shared" si="40"/>
        <v>0.57449896215277774</v>
      </c>
      <c r="AD66" s="13">
        <f t="shared" si="30"/>
        <v>41363925.274999999</v>
      </c>
      <c r="AE66" s="19">
        <f>+AE65</f>
        <v>9600000</v>
      </c>
      <c r="AF66" s="12">
        <f t="shared" ref="AF66:AF67" si="129">+AE66/$AE$4</f>
        <v>1</v>
      </c>
      <c r="AG66" s="12">
        <f t="shared" si="31"/>
        <v>0.7968356371732056</v>
      </c>
      <c r="AH66" s="11">
        <v>505076.8</v>
      </c>
      <c r="AI66" s="14">
        <f t="shared" si="32"/>
        <v>0.21127253903496174</v>
      </c>
      <c r="AK66" s="14">
        <f t="shared" si="33"/>
        <v>0.9817568870338389</v>
      </c>
      <c r="AL66" s="14">
        <f t="shared" si="34"/>
        <v>1.0839657447168943E-2</v>
      </c>
      <c r="AM66" s="14">
        <f t="shared" si="35"/>
        <v>2.3978090843470258E-3</v>
      </c>
      <c r="AN66" s="14">
        <f t="shared" si="36"/>
        <v>0</v>
      </c>
      <c r="AO66" s="14">
        <f t="shared" si="37"/>
        <v>0</v>
      </c>
      <c r="AP66" s="14">
        <f t="shared" si="38"/>
        <v>0</v>
      </c>
      <c r="AQ66" s="14">
        <f t="shared" si="39"/>
        <v>1.2452436696036579E-3</v>
      </c>
    </row>
    <row r="67" spans="1:43" x14ac:dyDescent="0.25">
      <c r="A67" s="10">
        <f>+A66+1</f>
        <v>63</v>
      </c>
      <c r="B67" s="15">
        <f t="shared" si="110"/>
        <v>42415</v>
      </c>
      <c r="C67" s="10">
        <v>2775</v>
      </c>
      <c r="D67" s="11">
        <v>61921033.479999997</v>
      </c>
      <c r="E67" s="12">
        <f t="shared" si="75"/>
        <v>0.64501056902438603</v>
      </c>
      <c r="F67" s="11">
        <v>171671.89</v>
      </c>
      <c r="G67" s="11"/>
      <c r="H67" s="11"/>
      <c r="I67" s="11"/>
      <c r="J67" s="11"/>
      <c r="K67" s="11"/>
      <c r="L67" s="11"/>
      <c r="M67" s="17">
        <f>IF(F67&gt;0.01,F67,#REF!)/D66</f>
        <v>2.7559094658656537E-3</v>
      </c>
      <c r="N67" s="17">
        <f t="shared" ref="N67" si="130">1-(+M67-1)^12</f>
        <v>3.2574217592623911E-2</v>
      </c>
      <c r="O67" s="20">
        <f t="shared" ref="O67" si="131">AVERAGE(N65:N67)</f>
        <v>5.0884542579394822E-2</v>
      </c>
      <c r="P67" s="20">
        <f t="shared" ref="P67" si="132">AVERAGE(N62:N67)</f>
        <v>5.7443252318390627E-2</v>
      </c>
      <c r="Q67" s="17">
        <f t="shared" ref="Q67" si="133">AVERAGE(N56:N67)</f>
        <v>5.852531871661238E-2</v>
      </c>
      <c r="R67" s="11">
        <v>0</v>
      </c>
      <c r="S67" s="18">
        <v>60581664</v>
      </c>
      <c r="T67" s="18">
        <v>774411</v>
      </c>
      <c r="U67" s="18">
        <v>242942</v>
      </c>
      <c r="V67" s="18">
        <v>10194</v>
      </c>
      <c r="W67" s="18">
        <v>0</v>
      </c>
      <c r="X67" s="18">
        <v>0</v>
      </c>
      <c r="Y67" s="11">
        <v>0</v>
      </c>
      <c r="Z67" s="19">
        <v>636750.61</v>
      </c>
      <c r="AA67" s="14">
        <f t="shared" si="42"/>
        <v>6.6328168346121239E-3</v>
      </c>
      <c r="AB67" s="11">
        <v>49302577.539999999</v>
      </c>
      <c r="AC67" s="14">
        <f t="shared" si="40"/>
        <v>0.57063168449074075</v>
      </c>
      <c r="AD67" s="13">
        <f t="shared" si="30"/>
        <v>41085481.283333331</v>
      </c>
      <c r="AE67" s="19">
        <f>+AE66</f>
        <v>9600000</v>
      </c>
      <c r="AF67" s="12">
        <f t="shared" si="129"/>
        <v>1</v>
      </c>
      <c r="AG67" s="12">
        <f t="shared" si="31"/>
        <v>0.796216968115113</v>
      </c>
      <c r="AH67" s="11">
        <v>496367.1</v>
      </c>
      <c r="AI67" s="14">
        <f t="shared" si="32"/>
        <v>0.21179916262599174</v>
      </c>
      <c r="AK67" s="14">
        <f t="shared" si="33"/>
        <v>0.97836971696487263</v>
      </c>
      <c r="AL67" s="14">
        <f t="shared" si="34"/>
        <v>1.2506428857491996E-2</v>
      </c>
      <c r="AM67" s="14">
        <f t="shared" si="35"/>
        <v>3.923416428094152E-3</v>
      </c>
      <c r="AN67" s="14">
        <f t="shared" si="36"/>
        <v>1.6462903519355151E-4</v>
      </c>
      <c r="AO67" s="14">
        <f t="shared" si="37"/>
        <v>0</v>
      </c>
      <c r="AP67" s="14">
        <f t="shared" si="38"/>
        <v>0</v>
      </c>
      <c r="AQ67" s="14">
        <f t="shared" si="39"/>
        <v>0</v>
      </c>
    </row>
    <row r="68" spans="1:43" x14ac:dyDescent="0.25">
      <c r="A68" s="10">
        <f t="shared" ref="A68:A179" si="134">+A67+1</f>
        <v>64</v>
      </c>
      <c r="B68" s="15">
        <f t="shared" si="110"/>
        <v>42444</v>
      </c>
      <c r="C68" s="10">
        <v>2759</v>
      </c>
      <c r="D68" s="11">
        <v>61322725.460000001</v>
      </c>
      <c r="E68" s="12">
        <f t="shared" si="75"/>
        <v>0.63877819571368055</v>
      </c>
      <c r="F68" s="11">
        <v>347630.92</v>
      </c>
      <c r="G68" s="11"/>
      <c r="H68" s="11"/>
      <c r="I68" s="11"/>
      <c r="J68" s="11"/>
      <c r="K68" s="11"/>
      <c r="L68" s="11"/>
      <c r="M68" s="17">
        <f>IF(F68&gt;0.01,F68,#REF!)/D67</f>
        <v>5.6141007419115837E-3</v>
      </c>
      <c r="N68" s="17">
        <f t="shared" ref="N68:N71" si="135">1-(+M68-1)^12</f>
        <v>6.532745327767786E-2</v>
      </c>
      <c r="O68" s="20">
        <f t="shared" ref="O68:O71" si="136">AVERAGE(N66:N68)</f>
        <v>4.9613331139968984E-2</v>
      </c>
      <c r="P68" s="20">
        <f t="shared" ref="P68:P71" si="137">AVERAGE(N63:N68)</f>
        <v>5.6241513988930146E-2</v>
      </c>
      <c r="Q68" s="17">
        <f t="shared" ref="Q68:Q71" si="138">AVERAGE(N57:N68)</f>
        <v>6.1939365759668318E-2</v>
      </c>
      <c r="R68" s="11">
        <v>0</v>
      </c>
      <c r="S68" s="18">
        <v>59964058</v>
      </c>
      <c r="T68" s="18">
        <v>804416</v>
      </c>
      <c r="U68" s="18">
        <v>151807</v>
      </c>
      <c r="V68" s="18">
        <v>80428</v>
      </c>
      <c r="W68" s="18">
        <v>10194</v>
      </c>
      <c r="X68" s="18">
        <v>0</v>
      </c>
      <c r="Y68" s="11">
        <v>0</v>
      </c>
      <c r="Z68" s="19">
        <v>636750.61</v>
      </c>
      <c r="AA68" s="14">
        <f t="shared" si="42"/>
        <v>6.6328168346121239E-3</v>
      </c>
      <c r="AB68" s="11">
        <v>48764100.32</v>
      </c>
      <c r="AC68" s="14">
        <f t="shared" si="40"/>
        <v>0.5643993092592593</v>
      </c>
      <c r="AD68" s="13">
        <f t="shared" ref="AD68:AD99" si="139">+AB68*$AD$2</f>
        <v>40636750.266666666</v>
      </c>
      <c r="AE68" s="19">
        <f t="shared" ref="AE68:AE71" si="140">+AE67</f>
        <v>9600000</v>
      </c>
      <c r="AF68" s="12">
        <f t="shared" ref="AF68:AF71" si="141">+AE68/$AE$4</f>
        <v>1</v>
      </c>
      <c r="AG68" s="12">
        <f t="shared" ref="AG68:AG99" si="142">+AB68/D68</f>
        <v>0.79520438718608777</v>
      </c>
      <c r="AH68" s="11">
        <v>493025.78</v>
      </c>
      <c r="AI68" s="14">
        <f t="shared" ref="AI68:AI99" si="143">((+D68+AH68)-AB68)/D68</f>
        <v>0.2128354671468968</v>
      </c>
      <c r="AK68" s="14">
        <f t="shared" ref="AK68:AK100" si="144">+S68/$D68</f>
        <v>0.9778439811699785</v>
      </c>
      <c r="AL68" s="14">
        <f t="shared" ref="AL68:AL100" si="145">+T68/$D68</f>
        <v>1.3117747033678564E-2</v>
      </c>
      <c r="AM68" s="14">
        <f t="shared" ref="AM68:AM100" si="146">+U68/$D68</f>
        <v>2.4755422865055418E-3</v>
      </c>
      <c r="AN68" s="14">
        <f t="shared" ref="AN68:AN100" si="147">+V68/$D68</f>
        <v>1.3115529258800169E-3</v>
      </c>
      <c r="AO68" s="14">
        <f t="shared" ref="AO68:AO100" si="148">+W68/$D68</f>
        <v>1.6623527287040448E-4</v>
      </c>
      <c r="AP68" s="14">
        <f t="shared" ref="AP68:AP100" si="149">+X68/$D68</f>
        <v>0</v>
      </c>
      <c r="AQ68" s="14">
        <f t="shared" ref="AQ68:AQ100" si="150">+Y68/$D68</f>
        <v>0</v>
      </c>
    </row>
    <row r="69" spans="1:43" x14ac:dyDescent="0.25">
      <c r="A69" s="10">
        <f t="shared" si="134"/>
        <v>65</v>
      </c>
      <c r="B69" s="15">
        <f t="shared" si="110"/>
        <v>42475</v>
      </c>
      <c r="C69" s="10">
        <v>2743</v>
      </c>
      <c r="D69" s="11">
        <v>60726253.350000001</v>
      </c>
      <c r="E69" s="12">
        <f t="shared" si="75"/>
        <v>0.63256494645965222</v>
      </c>
      <c r="F69" s="11">
        <v>351252.39</v>
      </c>
      <c r="G69" s="11"/>
      <c r="H69" s="11"/>
      <c r="I69" s="11"/>
      <c r="J69" s="11"/>
      <c r="K69" s="11"/>
      <c r="L69" s="11"/>
      <c r="M69" s="17">
        <f>IF(F69&gt;0.01,F69,#REF!)/D68</f>
        <v>5.7279318126379963E-3</v>
      </c>
      <c r="N69" s="17">
        <f t="shared" si="135"/>
        <v>6.6610590727587016E-2</v>
      </c>
      <c r="O69" s="20">
        <f t="shared" si="136"/>
        <v>5.4837420532629598E-2</v>
      </c>
      <c r="P69" s="20">
        <f t="shared" si="137"/>
        <v>5.7947396295559471E-2</v>
      </c>
      <c r="Q69" s="17">
        <f t="shared" si="138"/>
        <v>6.3007139424870781E-2</v>
      </c>
      <c r="R69" s="11">
        <v>0</v>
      </c>
      <c r="S69" s="18">
        <v>59658978</v>
      </c>
      <c r="T69" s="18">
        <v>627679</v>
      </c>
      <c r="U69" s="18">
        <v>79682</v>
      </c>
      <c r="V69" s="18">
        <v>14596</v>
      </c>
      <c r="W69" s="18">
        <v>80428</v>
      </c>
      <c r="X69" s="18">
        <v>10194</v>
      </c>
      <c r="Y69" s="11">
        <v>0</v>
      </c>
      <c r="Z69" s="19">
        <v>636750.61</v>
      </c>
      <c r="AA69" s="14">
        <f t="shared" si="42"/>
        <v>6.6328168346121239E-3</v>
      </c>
      <c r="AB69" s="11">
        <v>48212994.229999997</v>
      </c>
      <c r="AC69" s="14">
        <f t="shared" ref="AC69:AC100" si="151">+AB69/AB$4</f>
        <v>0.55802076655092592</v>
      </c>
      <c r="AD69" s="13">
        <f t="shared" si="139"/>
        <v>40177495.191666663</v>
      </c>
      <c r="AE69" s="19">
        <f t="shared" si="140"/>
        <v>9600000</v>
      </c>
      <c r="AF69" s="12">
        <f t="shared" si="141"/>
        <v>1</v>
      </c>
      <c r="AG69" s="12">
        <f t="shared" si="142"/>
        <v>0.79393987888765405</v>
      </c>
      <c r="AH69" s="11">
        <v>487641</v>
      </c>
      <c r="AI69" s="14">
        <f t="shared" si="143"/>
        <v>0.21409027237475708</v>
      </c>
      <c r="AK69" s="14">
        <f t="shared" si="144"/>
        <v>0.98242481149217809</v>
      </c>
      <c r="AL69" s="14">
        <f t="shared" si="145"/>
        <v>1.0336204942240192E-2</v>
      </c>
      <c r="AM69" s="14">
        <f t="shared" si="146"/>
        <v>1.3121507684781281E-3</v>
      </c>
      <c r="AN69" s="14">
        <f t="shared" si="147"/>
        <v>2.4035732808798421E-4</v>
      </c>
      <c r="AO69" s="14">
        <f t="shared" si="148"/>
        <v>1.3244354058276509E-3</v>
      </c>
      <c r="AP69" s="14">
        <f t="shared" si="149"/>
        <v>1.6786808732042417E-4</v>
      </c>
      <c r="AQ69" s="14">
        <f t="shared" si="150"/>
        <v>0</v>
      </c>
    </row>
    <row r="70" spans="1:43" x14ac:dyDescent="0.25">
      <c r="A70" s="10">
        <f t="shared" si="134"/>
        <v>66</v>
      </c>
      <c r="B70" s="15">
        <f t="shared" si="110"/>
        <v>42505</v>
      </c>
      <c r="C70" s="10">
        <v>2727</v>
      </c>
      <c r="D70" s="11">
        <v>60179639.479999997</v>
      </c>
      <c r="E70" s="12">
        <f t="shared" si="75"/>
        <v>0.62687105371415719</v>
      </c>
      <c r="F70" s="11">
        <v>305257.34999999998</v>
      </c>
      <c r="G70" s="11"/>
      <c r="H70" s="11"/>
      <c r="I70" s="11"/>
      <c r="J70" s="11"/>
      <c r="K70" s="11"/>
      <c r="L70" s="11"/>
      <c r="M70" s="17">
        <f>IF(F70&gt;0.01,F70,#REF!)/D69</f>
        <v>5.0267772694723633E-3</v>
      </c>
      <c r="N70" s="17">
        <f t="shared" si="135"/>
        <v>5.8681237579037426E-2</v>
      </c>
      <c r="O70" s="20">
        <f t="shared" si="136"/>
        <v>6.3539760528100772E-2</v>
      </c>
      <c r="P70" s="20">
        <f t="shared" si="137"/>
        <v>5.7212151553747793E-2</v>
      </c>
      <c r="Q70" s="17">
        <f t="shared" si="138"/>
        <v>6.2124995396721609E-2</v>
      </c>
      <c r="R70" s="11">
        <v>867341.68</v>
      </c>
      <c r="S70" s="18">
        <v>58747347</v>
      </c>
      <c r="T70" s="18">
        <v>824976</v>
      </c>
      <c r="U70" s="18">
        <v>232930</v>
      </c>
      <c r="V70" s="18">
        <v>64824</v>
      </c>
      <c r="W70" s="18">
        <v>0</v>
      </c>
      <c r="X70" s="18">
        <v>80428</v>
      </c>
      <c r="Y70" s="11">
        <v>0</v>
      </c>
      <c r="Z70" s="19">
        <v>636750.61</v>
      </c>
      <c r="AA70" s="14">
        <f t="shared" si="42"/>
        <v>6.6328168346121239E-3</v>
      </c>
      <c r="AB70" s="11">
        <v>46954645.560000002</v>
      </c>
      <c r="AC70" s="14">
        <f t="shared" si="151"/>
        <v>0.54345654583333336</v>
      </c>
      <c r="AD70" s="13">
        <f t="shared" si="139"/>
        <v>39128871.300000004</v>
      </c>
      <c r="AE70" s="19">
        <f t="shared" si="140"/>
        <v>9600000</v>
      </c>
      <c r="AF70" s="12">
        <f t="shared" si="141"/>
        <v>1</v>
      </c>
      <c r="AG70" s="12">
        <f t="shared" si="142"/>
        <v>0.78024139004031146</v>
      </c>
      <c r="AH70" s="11">
        <v>482129.94</v>
      </c>
      <c r="AI70" s="14">
        <f t="shared" si="143"/>
        <v>0.22777012256039511</v>
      </c>
      <c r="AK70" s="14">
        <f t="shared" si="144"/>
        <v>0.97619971650916915</v>
      </c>
      <c r="AL70" s="14">
        <f t="shared" si="145"/>
        <v>1.370855670004755E-2</v>
      </c>
      <c r="AM70" s="14">
        <f t="shared" si="146"/>
        <v>3.8705781891134722E-3</v>
      </c>
      <c r="AN70" s="14">
        <f t="shared" si="147"/>
        <v>1.0771749475425739E-3</v>
      </c>
      <c r="AO70" s="14">
        <f t="shared" si="148"/>
        <v>0</v>
      </c>
      <c r="AP70" s="14">
        <f t="shared" si="149"/>
        <v>1.3364653011377595E-3</v>
      </c>
      <c r="AQ70" s="14">
        <f t="shared" si="150"/>
        <v>0</v>
      </c>
    </row>
    <row r="71" spans="1:43" x14ac:dyDescent="0.25">
      <c r="A71" s="10">
        <f t="shared" si="134"/>
        <v>67</v>
      </c>
      <c r="B71" s="15">
        <f t="shared" si="110"/>
        <v>42536</v>
      </c>
      <c r="C71" s="10">
        <v>2718</v>
      </c>
      <c r="D71" s="11">
        <v>59775150.509999998</v>
      </c>
      <c r="E71" s="12">
        <f t="shared" si="75"/>
        <v>0.62265762822622417</v>
      </c>
      <c r="F71" s="11">
        <v>182232.08</v>
      </c>
      <c r="G71" s="11"/>
      <c r="H71" s="11"/>
      <c r="I71" s="11"/>
      <c r="J71" s="11"/>
      <c r="K71" s="11"/>
      <c r="L71" s="11"/>
      <c r="M71" s="17">
        <f>IF(F71&gt;0.01,F71,#REF!)/D70</f>
        <v>3.0281351230188524E-3</v>
      </c>
      <c r="N71" s="17">
        <f t="shared" si="135"/>
        <v>3.5738494998305392E-2</v>
      </c>
      <c r="O71" s="20">
        <f t="shared" si="136"/>
        <v>5.3676774434976614E-2</v>
      </c>
      <c r="P71" s="20">
        <f t="shared" si="137"/>
        <v>5.1645052787472799E-2</v>
      </c>
      <c r="Q71" s="17">
        <f t="shared" si="138"/>
        <v>5.9502588735435298E-2</v>
      </c>
      <c r="R71" s="11">
        <v>864341.68</v>
      </c>
      <c r="S71" s="18">
        <v>58413323</v>
      </c>
      <c r="T71" s="18">
        <v>679296</v>
      </c>
      <c r="U71" s="18">
        <v>274171</v>
      </c>
      <c r="V71" s="18">
        <v>84201</v>
      </c>
      <c r="W71" s="18">
        <v>14596</v>
      </c>
      <c r="X71" s="18">
        <v>0</v>
      </c>
      <c r="Y71" s="11">
        <v>80427.899999999994</v>
      </c>
      <c r="Z71" s="11">
        <f t="shared" ref="Z71:Z93" si="152">+Z70+Y71</f>
        <v>717178.51</v>
      </c>
      <c r="AA71" s="14">
        <f t="shared" si="42"/>
        <v>7.4706072045224101E-3</v>
      </c>
      <c r="AB71" s="11">
        <v>46530890.43</v>
      </c>
      <c r="AC71" s="14">
        <f t="shared" si="151"/>
        <v>0.53855197256944443</v>
      </c>
      <c r="AD71" s="13">
        <f t="shared" si="139"/>
        <v>38775742.024999999</v>
      </c>
      <c r="AE71" s="19">
        <f t="shared" si="140"/>
        <v>9600000</v>
      </c>
      <c r="AF71" s="12">
        <f t="shared" si="141"/>
        <v>1</v>
      </c>
      <c r="AG71" s="12">
        <f t="shared" si="142"/>
        <v>0.77843200783268096</v>
      </c>
      <c r="AH71" s="11">
        <v>469546.46</v>
      </c>
      <c r="AI71" s="14">
        <f t="shared" si="143"/>
        <v>0.22942320383962508</v>
      </c>
      <c r="AK71" s="14">
        <f t="shared" si="144"/>
        <v>0.97721749759923782</v>
      </c>
      <c r="AL71" s="14">
        <f t="shared" si="145"/>
        <v>1.1364187194917361E-2</v>
      </c>
      <c r="AM71" s="14">
        <f t="shared" si="146"/>
        <v>4.5867053058132063E-3</v>
      </c>
      <c r="AN71" s="14">
        <f t="shared" si="147"/>
        <v>1.4086288245466435E-3</v>
      </c>
      <c r="AO71" s="14">
        <f t="shared" si="148"/>
        <v>2.4418173564545324E-4</v>
      </c>
      <c r="AP71" s="14">
        <f t="shared" si="149"/>
        <v>0</v>
      </c>
      <c r="AQ71" s="14">
        <f t="shared" si="150"/>
        <v>1.3455072770840607E-3</v>
      </c>
    </row>
    <row r="72" spans="1:43" x14ac:dyDescent="0.25">
      <c r="A72" s="10">
        <f t="shared" si="134"/>
        <v>68</v>
      </c>
      <c r="B72" s="15">
        <f t="shared" si="110"/>
        <v>42566</v>
      </c>
      <c r="C72" s="10">
        <v>2705</v>
      </c>
      <c r="D72" s="11">
        <v>59274194.189999998</v>
      </c>
      <c r="E72" s="12">
        <f t="shared" si="75"/>
        <v>0.61743933481508584</v>
      </c>
      <c r="F72" s="11">
        <v>253742.48</v>
      </c>
      <c r="G72" s="11"/>
      <c r="H72" s="11"/>
      <c r="I72" s="11"/>
      <c r="J72" s="11"/>
      <c r="K72" s="11"/>
      <c r="L72" s="11"/>
      <c r="M72" s="17">
        <f>IF(F72&gt;0.01,F72,#REF!)/D71</f>
        <v>4.2449492445451979E-3</v>
      </c>
      <c r="N72" s="17">
        <f t="shared" ref="N72:N73" si="153">1-(+M72-1)^12</f>
        <v>4.9766766379310656E-2</v>
      </c>
      <c r="O72" s="20">
        <f t="shared" ref="O72:O73" si="154">AVERAGE(N70:N72)</f>
        <v>4.8062166318884492E-2</v>
      </c>
      <c r="P72" s="20">
        <f t="shared" ref="P72:P73" si="155">AVERAGE(N67:N72)</f>
        <v>5.1449793425757041E-2</v>
      </c>
      <c r="Q72" s="17">
        <f t="shared" ref="Q72:Q73" si="156">AVERAGE(N61:N72)</f>
        <v>5.9140619838158902E-2</v>
      </c>
      <c r="R72" s="11">
        <v>495777.09</v>
      </c>
      <c r="S72" s="18">
        <v>58014693</v>
      </c>
      <c r="T72" s="18">
        <v>765201</v>
      </c>
      <c r="U72" s="18">
        <v>123525</v>
      </c>
      <c r="V72" s="18">
        <v>46616</v>
      </c>
      <c r="W72" s="18">
        <v>0</v>
      </c>
      <c r="X72" s="18">
        <v>14596</v>
      </c>
      <c r="Y72" s="11">
        <v>0</v>
      </c>
      <c r="Z72" s="11">
        <f t="shared" si="152"/>
        <v>717178.51</v>
      </c>
      <c r="AA72" s="14">
        <f t="shared" si="42"/>
        <v>7.4706072045224101E-3</v>
      </c>
      <c r="AB72" s="11">
        <v>45591787.07</v>
      </c>
      <c r="AC72" s="14">
        <f t="shared" si="151"/>
        <v>0.52768272071759259</v>
      </c>
      <c r="AD72" s="13">
        <f t="shared" si="139"/>
        <v>37993155.891666666</v>
      </c>
      <c r="AE72" s="19">
        <v>9600000</v>
      </c>
      <c r="AF72" s="12">
        <f t="shared" ref="AF72" si="157">+AE72/$AE$4</f>
        <v>1</v>
      </c>
      <c r="AG72" s="12">
        <f t="shared" si="142"/>
        <v>0.76916755584830332</v>
      </c>
      <c r="AH72" s="11">
        <v>465308.9</v>
      </c>
      <c r="AI72" s="14">
        <f t="shared" si="143"/>
        <v>0.23868255340005654</v>
      </c>
      <c r="AK72" s="14">
        <f t="shared" si="144"/>
        <v>0.97875127267082296</v>
      </c>
      <c r="AL72" s="14">
        <f t="shared" si="145"/>
        <v>1.2909513329648859E-2</v>
      </c>
      <c r="AM72" s="14">
        <f t="shared" si="146"/>
        <v>2.0839591611156749E-3</v>
      </c>
      <c r="AN72" s="14">
        <f t="shared" si="147"/>
        <v>7.8644679420820322E-4</v>
      </c>
      <c r="AO72" s="14">
        <f t="shared" si="148"/>
        <v>0</v>
      </c>
      <c r="AP72" s="14">
        <f t="shared" si="149"/>
        <v>2.4624543951138949E-4</v>
      </c>
      <c r="AQ72" s="14">
        <f t="shared" si="150"/>
        <v>0</v>
      </c>
    </row>
    <row r="73" spans="1:43" x14ac:dyDescent="0.25">
      <c r="A73" s="10">
        <f t="shared" si="134"/>
        <v>69</v>
      </c>
      <c r="B73" s="15">
        <f t="shared" si="110"/>
        <v>42597</v>
      </c>
      <c r="C73" s="10">
        <v>2693</v>
      </c>
      <c r="D73" s="11">
        <v>58721572.829999998</v>
      </c>
      <c r="E73" s="12">
        <f t="shared" si="75"/>
        <v>0.61168286406781125</v>
      </c>
      <c r="F73" s="11">
        <v>348016.1</v>
      </c>
      <c r="G73" s="11"/>
      <c r="H73" s="11"/>
      <c r="I73" s="11"/>
      <c r="J73" s="11"/>
      <c r="K73" s="11"/>
      <c r="L73" s="11"/>
      <c r="M73" s="17">
        <f>IF(F73&gt;0.01,F73,#REF!)/D72</f>
        <v>5.8712919636571444E-3</v>
      </c>
      <c r="N73" s="17">
        <f t="shared" si="153"/>
        <v>6.8224291284943228E-2</v>
      </c>
      <c r="O73" s="20">
        <f t="shared" si="154"/>
        <v>5.124318422085309E-2</v>
      </c>
      <c r="P73" s="20">
        <f t="shared" si="155"/>
        <v>5.7391472374476928E-2</v>
      </c>
      <c r="Q73" s="17">
        <f t="shared" si="156"/>
        <v>5.7417362346433777E-2</v>
      </c>
      <c r="R73" s="11">
        <v>0</v>
      </c>
      <c r="S73" s="18">
        <v>57462634</v>
      </c>
      <c r="T73" s="18">
        <v>806463</v>
      </c>
      <c r="U73" s="18">
        <v>128316</v>
      </c>
      <c r="V73" s="18">
        <v>0</v>
      </c>
      <c r="W73" s="18">
        <v>0</v>
      </c>
      <c r="X73" s="18">
        <v>0</v>
      </c>
      <c r="Y73" s="11">
        <v>14596.44</v>
      </c>
      <c r="Z73" s="11">
        <f t="shared" si="152"/>
        <v>731774.95</v>
      </c>
      <c r="AA73" s="14">
        <f t="shared" si="42"/>
        <v>7.6226534082275083E-3</v>
      </c>
      <c r="AB73" s="11">
        <v>45080149.109999999</v>
      </c>
      <c r="AC73" s="14">
        <f t="shared" si="151"/>
        <v>0.52176098506944446</v>
      </c>
      <c r="AD73" s="13">
        <f t="shared" si="139"/>
        <v>37566790.925000004</v>
      </c>
      <c r="AE73" s="19">
        <v>9600000</v>
      </c>
      <c r="AF73" s="12">
        <f t="shared" ref="AF73" si="158">+AE73/$AE$4</f>
        <v>1</v>
      </c>
      <c r="AG73" s="12">
        <f t="shared" si="142"/>
        <v>0.76769314814689715</v>
      </c>
      <c r="AH73" s="11">
        <v>456036.16</v>
      </c>
      <c r="AI73" s="14">
        <f t="shared" si="143"/>
        <v>0.24007292721556342</v>
      </c>
      <c r="AK73" s="14">
        <f t="shared" si="144"/>
        <v>0.97856088028083565</v>
      </c>
      <c r="AL73" s="14">
        <f t="shared" si="145"/>
        <v>1.3733675055583486E-2</v>
      </c>
      <c r="AM73" s="14">
        <f t="shared" si="146"/>
        <v>2.1851594536045058E-3</v>
      </c>
      <c r="AN73" s="14">
        <f t="shared" si="147"/>
        <v>0</v>
      </c>
      <c r="AO73" s="14">
        <f t="shared" si="148"/>
        <v>0</v>
      </c>
      <c r="AP73" s="14">
        <f t="shared" si="149"/>
        <v>0</v>
      </c>
      <c r="AQ73" s="14">
        <f t="shared" si="150"/>
        <v>2.4857031745823558E-4</v>
      </c>
    </row>
    <row r="74" spans="1:43" x14ac:dyDescent="0.25">
      <c r="A74" s="10">
        <f t="shared" si="134"/>
        <v>70</v>
      </c>
      <c r="B74" s="15">
        <f t="shared" si="110"/>
        <v>42628</v>
      </c>
      <c r="C74" s="10">
        <v>2681</v>
      </c>
      <c r="D74" s="11">
        <v>58222681.530000001</v>
      </c>
      <c r="E74" s="12">
        <f t="shared" si="75"/>
        <v>0.60648608127512338</v>
      </c>
      <c r="F74" s="11">
        <v>204407.82</v>
      </c>
      <c r="G74" s="11"/>
      <c r="H74" s="11"/>
      <c r="I74" s="11"/>
      <c r="J74" s="11"/>
      <c r="K74" s="11"/>
      <c r="L74" s="11"/>
      <c r="M74" s="17">
        <f>IF(F74&gt;0.01,F74,#REF!)/D73</f>
        <v>3.4809663663431544E-3</v>
      </c>
      <c r="N74" s="17">
        <f t="shared" ref="N74:N80" si="159">1-(+M74-1)^12</f>
        <v>4.0981073197748463E-2</v>
      </c>
      <c r="O74" s="20">
        <f t="shared" ref="O74:O80" si="160">AVERAGE(N72:N74)</f>
        <v>5.2990710287334118E-2</v>
      </c>
      <c r="P74" s="20">
        <f t="shared" ref="P74:P80" si="161">AVERAGE(N69:N74)</f>
        <v>5.3333742361155366E-2</v>
      </c>
      <c r="Q74" s="17">
        <f t="shared" ref="Q74:Q80" si="162">AVERAGE(N63:N74)</f>
        <v>5.4787628175042756E-2</v>
      </c>
      <c r="R74" s="11">
        <v>0</v>
      </c>
      <c r="S74" s="18">
        <v>57192461</v>
      </c>
      <c r="T74" s="18">
        <v>548361</v>
      </c>
      <c r="U74" s="18">
        <v>169793</v>
      </c>
      <c r="V74" s="18">
        <v>29831</v>
      </c>
      <c r="W74" s="18">
        <v>0</v>
      </c>
      <c r="X74" s="18">
        <v>0</v>
      </c>
      <c r="Y74" s="11">
        <v>0</v>
      </c>
      <c r="Z74" s="11">
        <f t="shared" si="152"/>
        <v>731774.95</v>
      </c>
      <c r="AA74" s="14">
        <f t="shared" si="42"/>
        <v>7.6226534082275083E-3</v>
      </c>
      <c r="AB74" s="11">
        <v>44599843.25</v>
      </c>
      <c r="AC74" s="14">
        <f t="shared" si="151"/>
        <v>0.5162018894675926</v>
      </c>
      <c r="AD74" s="13">
        <f t="shared" si="139"/>
        <v>37166536.041666672</v>
      </c>
      <c r="AE74" s="19">
        <v>9600000</v>
      </c>
      <c r="AF74" s="12">
        <f t="shared" ref="AF74:AF80" si="163">+AE74/$AE$4</f>
        <v>1</v>
      </c>
      <c r="AG74" s="12">
        <f t="shared" si="142"/>
        <v>0.76602179903066381</v>
      </c>
      <c r="AH74" s="11">
        <v>450914.8</v>
      </c>
      <c r="AI74" s="14">
        <f t="shared" si="143"/>
        <v>0.24172285972002702</v>
      </c>
      <c r="AK74" s="14">
        <f t="shared" si="144"/>
        <v>0.98230551216592166</v>
      </c>
      <c r="AL74" s="14">
        <f t="shared" si="145"/>
        <v>9.4183398220408273E-3</v>
      </c>
      <c r="AM74" s="14">
        <f t="shared" si="146"/>
        <v>2.9162689786541682E-3</v>
      </c>
      <c r="AN74" s="14">
        <f t="shared" si="147"/>
        <v>5.123604618696441E-4</v>
      </c>
      <c r="AO74" s="14">
        <f t="shared" si="148"/>
        <v>0</v>
      </c>
      <c r="AP74" s="14">
        <f t="shared" si="149"/>
        <v>0</v>
      </c>
      <c r="AQ74" s="14">
        <f t="shared" si="150"/>
        <v>0</v>
      </c>
    </row>
    <row r="75" spans="1:43" x14ac:dyDescent="0.25">
      <c r="A75" s="10">
        <f t="shared" si="134"/>
        <v>71</v>
      </c>
      <c r="B75" s="15">
        <f t="shared" si="110"/>
        <v>42658</v>
      </c>
      <c r="C75" s="10">
        <v>2661</v>
      </c>
      <c r="D75" s="11">
        <v>57596092.789999999</v>
      </c>
      <c r="E75" s="12">
        <f t="shared" si="75"/>
        <v>0.59995911722078121</v>
      </c>
      <c r="F75" s="11">
        <v>391550.73</v>
      </c>
      <c r="G75" s="11"/>
      <c r="H75" s="11"/>
      <c r="I75" s="11"/>
      <c r="J75" s="11"/>
      <c r="K75" s="11"/>
      <c r="L75" s="11"/>
      <c r="M75" s="17">
        <f>IF(F75&gt;0.01,F75,#REF!)/D74</f>
        <v>6.725054904904171E-3</v>
      </c>
      <c r="N75" s="17">
        <f t="shared" si="159"/>
        <v>7.7781630145203562E-2</v>
      </c>
      <c r="O75" s="20">
        <f t="shared" si="160"/>
        <v>6.2328998209298415E-2</v>
      </c>
      <c r="P75" s="20">
        <f t="shared" si="161"/>
        <v>5.5195582264091457E-2</v>
      </c>
      <c r="Q75" s="17">
        <f t="shared" si="162"/>
        <v>5.6571489279825464E-2</v>
      </c>
      <c r="R75" s="11">
        <v>0</v>
      </c>
      <c r="S75" s="18">
        <v>56659311</v>
      </c>
      <c r="T75" s="18">
        <v>440192</v>
      </c>
      <c r="U75" s="18">
        <v>165591</v>
      </c>
      <c r="V75" s="18">
        <v>48763</v>
      </c>
      <c r="W75" s="18">
        <v>0</v>
      </c>
      <c r="X75" s="18">
        <v>0</v>
      </c>
      <c r="Y75" s="11">
        <v>0</v>
      </c>
      <c r="Z75" s="11">
        <f t="shared" si="152"/>
        <v>731774.95</v>
      </c>
      <c r="AA75" s="14">
        <f t="shared" si="42"/>
        <v>7.6226534082275083E-3</v>
      </c>
      <c r="AB75" s="11">
        <v>44018734.280000001</v>
      </c>
      <c r="AC75" s="14">
        <f t="shared" si="151"/>
        <v>0.50947609120370374</v>
      </c>
      <c r="AD75" s="13">
        <f t="shared" si="139"/>
        <v>36682278.56666667</v>
      </c>
      <c r="AE75" s="19">
        <v>9600000</v>
      </c>
      <c r="AF75" s="12">
        <f t="shared" si="163"/>
        <v>1</v>
      </c>
      <c r="AG75" s="12">
        <f t="shared" si="142"/>
        <v>0.76426597964719334</v>
      </c>
      <c r="AH75" s="11">
        <v>445998.43</v>
      </c>
      <c r="AI75" s="14">
        <f t="shared" si="143"/>
        <v>0.24347757392381264</v>
      </c>
      <c r="AK75" s="14">
        <f t="shared" si="144"/>
        <v>0.98373532396692986</v>
      </c>
      <c r="AL75" s="14">
        <f t="shared" si="145"/>
        <v>7.6427406561235941E-3</v>
      </c>
      <c r="AM75" s="14">
        <f t="shared" si="146"/>
        <v>2.8750387739626391E-3</v>
      </c>
      <c r="AN75" s="14">
        <f t="shared" si="147"/>
        <v>8.466372914877027E-4</v>
      </c>
      <c r="AO75" s="14">
        <f t="shared" si="148"/>
        <v>0</v>
      </c>
      <c r="AP75" s="14">
        <f t="shared" si="149"/>
        <v>0</v>
      </c>
      <c r="AQ75" s="14">
        <f t="shared" si="150"/>
        <v>0</v>
      </c>
    </row>
    <row r="76" spans="1:43" x14ac:dyDescent="0.25">
      <c r="A76" s="10">
        <f t="shared" si="134"/>
        <v>72</v>
      </c>
      <c r="B76" s="15">
        <f t="shared" si="110"/>
        <v>42689</v>
      </c>
      <c r="C76" s="10">
        <v>2651</v>
      </c>
      <c r="D76" s="11">
        <v>57175009.170000002</v>
      </c>
      <c r="E76" s="12">
        <f t="shared" si="75"/>
        <v>0.59557283084798074</v>
      </c>
      <c r="F76" s="11">
        <v>226110.93</v>
      </c>
      <c r="G76" s="11"/>
      <c r="H76" s="11"/>
      <c r="I76" s="11"/>
      <c r="J76" s="11"/>
      <c r="K76" s="11"/>
      <c r="L76" s="11"/>
      <c r="M76" s="17">
        <f>IF(F76&gt;0.01,F76,#REF!)/D75</f>
        <v>3.925803280170735E-3</v>
      </c>
      <c r="N76" s="17">
        <f t="shared" si="159"/>
        <v>4.6105645975368481E-2</v>
      </c>
      <c r="O76" s="20">
        <f t="shared" si="160"/>
        <v>5.4956116439440171E-2</v>
      </c>
      <c r="P76" s="20">
        <f t="shared" si="161"/>
        <v>5.309965033014663E-2</v>
      </c>
      <c r="Q76" s="17">
        <f t="shared" si="162"/>
        <v>5.5155900941947215E-2</v>
      </c>
      <c r="R76" s="11">
        <v>0</v>
      </c>
      <c r="S76" s="18">
        <v>56114739</v>
      </c>
      <c r="T76" s="18">
        <v>621626</v>
      </c>
      <c r="U76" s="18">
        <v>83667</v>
      </c>
      <c r="V76" s="18">
        <v>71791</v>
      </c>
      <c r="W76" s="18">
        <v>14871</v>
      </c>
      <c r="X76" s="18">
        <v>0</v>
      </c>
      <c r="Y76" s="11">
        <v>0</v>
      </c>
      <c r="Z76" s="11">
        <f t="shared" si="152"/>
        <v>731774.95</v>
      </c>
      <c r="AA76" s="14">
        <f t="shared" ref="AA76:AA107" si="164">+Z76/D$4</f>
        <v>7.6226534082275083E-3</v>
      </c>
      <c r="AB76" s="11">
        <v>43627205.659999996</v>
      </c>
      <c r="AC76" s="14">
        <f t="shared" si="151"/>
        <v>0.50494450995370366</v>
      </c>
      <c r="AD76" s="13">
        <f t="shared" si="139"/>
        <v>36356004.716666669</v>
      </c>
      <c r="AE76" s="19">
        <v>9600000</v>
      </c>
      <c r="AF76" s="12">
        <f t="shared" si="163"/>
        <v>1</v>
      </c>
      <c r="AG76" s="12">
        <f t="shared" si="142"/>
        <v>0.76304676279599792</v>
      </c>
      <c r="AH76" s="11">
        <v>440298.32</v>
      </c>
      <c r="AI76" s="14">
        <f t="shared" si="143"/>
        <v>0.24465412481891877</v>
      </c>
      <c r="AK76" s="14">
        <f t="shared" si="144"/>
        <v>0.98145570616617706</v>
      </c>
      <c r="AL76" s="14">
        <f t="shared" si="145"/>
        <v>1.0872337565381102E-2</v>
      </c>
      <c r="AM76" s="14">
        <f t="shared" si="146"/>
        <v>1.4633491312827016E-3</v>
      </c>
      <c r="AN76" s="14">
        <f t="shared" si="147"/>
        <v>1.2556360032499841E-3</v>
      </c>
      <c r="AO76" s="14">
        <f t="shared" si="148"/>
        <v>2.600961541743466E-4</v>
      </c>
      <c r="AP76" s="14">
        <f t="shared" si="149"/>
        <v>0</v>
      </c>
      <c r="AQ76" s="14">
        <f t="shared" si="150"/>
        <v>0</v>
      </c>
    </row>
    <row r="77" spans="1:43" x14ac:dyDescent="0.25">
      <c r="A77" s="10">
        <f t="shared" si="134"/>
        <v>73</v>
      </c>
      <c r="B77" s="15">
        <f t="shared" si="110"/>
        <v>42719</v>
      </c>
      <c r="C77" s="10">
        <v>2639</v>
      </c>
      <c r="D77" s="11">
        <v>56781270.020000003</v>
      </c>
      <c r="E77" s="12">
        <f t="shared" si="75"/>
        <v>0.59147138261761967</v>
      </c>
      <c r="F77" s="11">
        <v>215268.15</v>
      </c>
      <c r="G77" s="11"/>
      <c r="H77" s="11"/>
      <c r="I77" s="11"/>
      <c r="J77" s="11"/>
      <c r="K77" s="11"/>
      <c r="L77" s="11"/>
      <c r="M77" s="17">
        <f>IF(F77&gt;0.01,F77,#REF!)/D76</f>
        <v>3.7650741665810209E-3</v>
      </c>
      <c r="N77" s="17">
        <f t="shared" si="159"/>
        <v>4.425693144701015E-2</v>
      </c>
      <c r="O77" s="20">
        <f t="shared" si="160"/>
        <v>5.6048069189194062E-2</v>
      </c>
      <c r="P77" s="20">
        <f t="shared" si="161"/>
        <v>5.451938973826409E-2</v>
      </c>
      <c r="Q77" s="17">
        <f t="shared" si="162"/>
        <v>5.3082221262868441E-2</v>
      </c>
      <c r="R77" s="11">
        <v>0</v>
      </c>
      <c r="S77" s="18">
        <v>55545586</v>
      </c>
      <c r="T77" s="18">
        <v>778933</v>
      </c>
      <c r="U77" s="18">
        <v>153752</v>
      </c>
      <c r="V77" s="18">
        <v>0</v>
      </c>
      <c r="W77" s="18">
        <v>34685</v>
      </c>
      <c r="X77" s="18">
        <v>0</v>
      </c>
      <c r="Y77" s="11">
        <v>0</v>
      </c>
      <c r="Z77" s="11">
        <f t="shared" si="152"/>
        <v>731774.95</v>
      </c>
      <c r="AA77" s="14">
        <f t="shared" si="164"/>
        <v>7.6226534082275083E-3</v>
      </c>
      <c r="AB77" s="11">
        <v>43270966.299999997</v>
      </c>
      <c r="AC77" s="14">
        <f t="shared" si="151"/>
        <v>0.50082136921296294</v>
      </c>
      <c r="AD77" s="13">
        <f t="shared" si="139"/>
        <v>36059138.583333336</v>
      </c>
      <c r="AE77" s="19">
        <v>9600000</v>
      </c>
      <c r="AF77" s="12">
        <f t="shared" si="163"/>
        <v>1</v>
      </c>
      <c r="AG77" s="12">
        <f t="shared" si="142"/>
        <v>0.76206408001720838</v>
      </c>
      <c r="AH77" s="11">
        <v>436385.99</v>
      </c>
      <c r="AI77" s="14">
        <f t="shared" si="143"/>
        <v>0.24562130619987158</v>
      </c>
      <c r="AK77" s="14">
        <f t="shared" si="144"/>
        <v>0.97823782350122213</v>
      </c>
      <c r="AL77" s="14">
        <f t="shared" si="145"/>
        <v>1.3718132752677728E-2</v>
      </c>
      <c r="AM77" s="14">
        <f t="shared" si="146"/>
        <v>2.7077943122061922E-3</v>
      </c>
      <c r="AN77" s="14">
        <f t="shared" si="147"/>
        <v>0</v>
      </c>
      <c r="AO77" s="14">
        <f t="shared" si="148"/>
        <v>6.1085283911020206E-4</v>
      </c>
      <c r="AP77" s="14">
        <f t="shared" si="149"/>
        <v>0</v>
      </c>
      <c r="AQ77" s="14">
        <f t="shared" si="150"/>
        <v>0</v>
      </c>
    </row>
    <row r="78" spans="1:43" x14ac:dyDescent="0.25">
      <c r="A78" s="10">
        <f t="shared" si="134"/>
        <v>74</v>
      </c>
      <c r="B78" s="15">
        <f t="shared" si="110"/>
        <v>42750</v>
      </c>
      <c r="C78" s="10">
        <v>2632</v>
      </c>
      <c r="D78" s="11">
        <v>56389310.030000001</v>
      </c>
      <c r="E78" s="12">
        <f t="shared" si="75"/>
        <v>0.58738846729828231</v>
      </c>
      <c r="F78" s="11">
        <v>158103.04000000001</v>
      </c>
      <c r="G78" s="11"/>
      <c r="H78" s="11"/>
      <c r="I78" s="11"/>
      <c r="J78" s="11"/>
      <c r="K78" s="11"/>
      <c r="L78" s="11"/>
      <c r="M78" s="17">
        <f>IF(F78&gt;0.01,F78,#REF!)/D77</f>
        <v>2.7844223974615493E-3</v>
      </c>
      <c r="N78" s="17">
        <f t="shared" si="159"/>
        <v>3.2906089896730606E-2</v>
      </c>
      <c r="O78" s="20">
        <f t="shared" si="160"/>
        <v>4.1089555773036412E-2</v>
      </c>
      <c r="P78" s="20">
        <f t="shared" si="161"/>
        <v>5.1709276991167417E-2</v>
      </c>
      <c r="Q78" s="17">
        <f t="shared" si="162"/>
        <v>5.1579535208462229E-2</v>
      </c>
      <c r="R78" s="11">
        <v>399279.64</v>
      </c>
      <c r="S78" s="18">
        <v>55147870</v>
      </c>
      <c r="T78" s="18">
        <v>839648</v>
      </c>
      <c r="U78" s="18">
        <v>113664</v>
      </c>
      <c r="V78" s="18">
        <v>0</v>
      </c>
      <c r="W78" s="18">
        <v>0</v>
      </c>
      <c r="X78" s="18">
        <v>19814</v>
      </c>
      <c r="Y78" s="11">
        <v>0</v>
      </c>
      <c r="Z78" s="11">
        <f t="shared" si="152"/>
        <v>731774.95</v>
      </c>
      <c r="AA78" s="14">
        <f t="shared" si="164"/>
        <v>7.6226534082275083E-3</v>
      </c>
      <c r="AB78" s="11">
        <v>42523203.469999999</v>
      </c>
      <c r="AC78" s="14">
        <f t="shared" si="151"/>
        <v>0.49216670682870367</v>
      </c>
      <c r="AD78" s="13">
        <f t="shared" si="139"/>
        <v>35436002.891666666</v>
      </c>
      <c r="AE78" s="19">
        <v>9600000</v>
      </c>
      <c r="AF78" s="12">
        <f t="shared" si="163"/>
        <v>1</v>
      </c>
      <c r="AG78" s="12">
        <f t="shared" si="142"/>
        <v>0.754100439380744</v>
      </c>
      <c r="AH78" s="11">
        <v>432822.77</v>
      </c>
      <c r="AI78" s="14">
        <f t="shared" si="143"/>
        <v>0.25357517803272905</v>
      </c>
      <c r="AK78" s="14">
        <f t="shared" si="144"/>
        <v>0.97798447916210474</v>
      </c>
      <c r="AL78" s="14">
        <f t="shared" si="145"/>
        <v>1.4890198151977636E-2</v>
      </c>
      <c r="AM78" s="14">
        <f t="shared" si="146"/>
        <v>2.0157012018683852E-3</v>
      </c>
      <c r="AN78" s="14">
        <f t="shared" si="147"/>
        <v>0</v>
      </c>
      <c r="AO78" s="14">
        <f t="shared" si="148"/>
        <v>0</v>
      </c>
      <c r="AP78" s="14">
        <f t="shared" si="149"/>
        <v>3.5137865651235382E-4</v>
      </c>
      <c r="AQ78" s="14">
        <f t="shared" si="150"/>
        <v>0</v>
      </c>
    </row>
    <row r="79" spans="1:43" x14ac:dyDescent="0.25">
      <c r="A79" s="10">
        <f t="shared" si="134"/>
        <v>75</v>
      </c>
      <c r="B79" s="15">
        <f t="shared" si="110"/>
        <v>42781</v>
      </c>
      <c r="C79" s="10">
        <v>2625</v>
      </c>
      <c r="D79" s="11">
        <v>56042682.969999999</v>
      </c>
      <c r="E79" s="12">
        <f t="shared" si="75"/>
        <v>0.58377776985599772</v>
      </c>
      <c r="F79" s="11">
        <v>126775.39</v>
      </c>
      <c r="G79" s="11"/>
      <c r="H79" s="11"/>
      <c r="I79" s="11"/>
      <c r="J79" s="11"/>
      <c r="K79" s="11"/>
      <c r="L79" s="11"/>
      <c r="M79" s="17">
        <f>IF(F79&gt;0.01,F79,#REF!)/D78</f>
        <v>2.2482167264070707E-3</v>
      </c>
      <c r="N79" s="17">
        <f t="shared" si="159"/>
        <v>2.6647492522349547E-2</v>
      </c>
      <c r="O79" s="20">
        <f t="shared" si="160"/>
        <v>3.4603504622030101E-2</v>
      </c>
      <c r="P79" s="20">
        <f t="shared" si="161"/>
        <v>4.4779810530735133E-2</v>
      </c>
      <c r="Q79" s="17">
        <f t="shared" si="162"/>
        <v>5.108564145260603E-2</v>
      </c>
      <c r="R79" s="11">
        <v>0</v>
      </c>
      <c r="S79" s="18">
        <v>54792320</v>
      </c>
      <c r="T79" s="18">
        <v>702558</v>
      </c>
      <c r="U79" s="18">
        <v>230883</v>
      </c>
      <c r="V79" s="18">
        <v>48607</v>
      </c>
      <c r="W79" s="18">
        <v>0</v>
      </c>
      <c r="X79" s="18">
        <v>0</v>
      </c>
      <c r="Y79" s="11">
        <v>0</v>
      </c>
      <c r="Z79" s="11">
        <f t="shared" si="152"/>
        <v>731774.95</v>
      </c>
      <c r="AA79" s="14">
        <f t="shared" si="164"/>
        <v>7.6226534082275083E-3</v>
      </c>
      <c r="AB79" s="11">
        <v>42200040.600000001</v>
      </c>
      <c r="AC79" s="14">
        <f t="shared" si="151"/>
        <v>0.48842639583333336</v>
      </c>
      <c r="AD79" s="13">
        <f t="shared" si="139"/>
        <v>35166700.5</v>
      </c>
      <c r="AE79" s="19">
        <v>9600000</v>
      </c>
      <c r="AF79" s="12">
        <f t="shared" si="163"/>
        <v>1</v>
      </c>
      <c r="AG79" s="12">
        <f t="shared" si="142"/>
        <v>0.75299822141973372</v>
      </c>
      <c r="AH79" s="11">
        <v>425306.15</v>
      </c>
      <c r="AI79" s="14">
        <f t="shared" si="143"/>
        <v>0.25459074697829365</v>
      </c>
      <c r="AK79" s="14">
        <f t="shared" si="144"/>
        <v>0.97768909510150814</v>
      </c>
      <c r="AL79" s="14">
        <f t="shared" si="145"/>
        <v>1.2536123589516293E-2</v>
      </c>
      <c r="AM79" s="14">
        <f t="shared" si="146"/>
        <v>4.1197706420228507E-3</v>
      </c>
      <c r="AN79" s="14">
        <f t="shared" si="147"/>
        <v>8.6732107429652564E-4</v>
      </c>
      <c r="AO79" s="14">
        <f t="shared" si="148"/>
        <v>0</v>
      </c>
      <c r="AP79" s="14">
        <f t="shared" si="149"/>
        <v>0</v>
      </c>
      <c r="AQ79" s="14">
        <f t="shared" si="150"/>
        <v>0</v>
      </c>
    </row>
    <row r="80" spans="1:43" x14ac:dyDescent="0.25">
      <c r="A80" s="10">
        <f t="shared" si="134"/>
        <v>76</v>
      </c>
      <c r="B80" s="15">
        <f t="shared" si="110"/>
        <v>42809</v>
      </c>
      <c r="C80" s="10">
        <v>2608</v>
      </c>
      <c r="D80" s="11">
        <v>55548879.509999998</v>
      </c>
      <c r="E80" s="12">
        <f t="shared" si="75"/>
        <v>0.57863398538050625</v>
      </c>
      <c r="F80" s="11">
        <v>234317.59</v>
      </c>
      <c r="G80" s="11"/>
      <c r="H80" s="11"/>
      <c r="I80" s="11"/>
      <c r="J80" s="11"/>
      <c r="K80" s="11"/>
      <c r="L80" s="11"/>
      <c r="M80" s="17">
        <f>IF(F80&gt;0.01,F80,#REF!)/D79</f>
        <v>4.1810558949404988E-3</v>
      </c>
      <c r="N80" s="17">
        <f t="shared" si="159"/>
        <v>4.9034839201892777E-2</v>
      </c>
      <c r="O80" s="20">
        <f t="shared" si="160"/>
        <v>3.6196140540324308E-2</v>
      </c>
      <c r="P80" s="20">
        <f t="shared" si="161"/>
        <v>4.6122104864759185E-2</v>
      </c>
      <c r="Q80" s="17">
        <f t="shared" si="162"/>
        <v>4.9727923612957275E-2</v>
      </c>
      <c r="R80" s="11">
        <v>0</v>
      </c>
      <c r="S80" s="18">
        <v>53990723</v>
      </c>
      <c r="T80" s="18">
        <v>989139</v>
      </c>
      <c r="U80" s="18">
        <v>237628</v>
      </c>
      <c r="V80" s="18">
        <v>66831</v>
      </c>
      <c r="W80" s="18">
        <v>32225</v>
      </c>
      <c r="X80" s="18">
        <v>50294</v>
      </c>
      <c r="Y80" s="11">
        <v>0</v>
      </c>
      <c r="Z80" s="11">
        <f t="shared" si="152"/>
        <v>731774.95</v>
      </c>
      <c r="AA80" s="14">
        <f t="shared" si="164"/>
        <v>7.6226534082275083E-3</v>
      </c>
      <c r="AB80" s="11">
        <v>41760878.049999997</v>
      </c>
      <c r="AC80" s="14">
        <f t="shared" si="151"/>
        <v>0.48334349594907405</v>
      </c>
      <c r="AD80" s="13">
        <f t="shared" si="139"/>
        <v>34800731.708333336</v>
      </c>
      <c r="AE80" s="19">
        <v>9600000</v>
      </c>
      <c r="AF80" s="12">
        <f t="shared" si="163"/>
        <v>1</v>
      </c>
      <c r="AG80" s="12">
        <f t="shared" si="142"/>
        <v>0.75178614615407569</v>
      </c>
      <c r="AH80" s="11">
        <v>422000.41</v>
      </c>
      <c r="AI80" s="14">
        <f t="shared" si="143"/>
        <v>0.25581077413887149</v>
      </c>
      <c r="AK80" s="14">
        <f t="shared" si="144"/>
        <v>0.9719498120620147</v>
      </c>
      <c r="AL80" s="14">
        <f t="shared" si="145"/>
        <v>1.7806641803133644E-2</v>
      </c>
      <c r="AM80" s="14">
        <f t="shared" si="146"/>
        <v>4.2778180603484867E-3</v>
      </c>
      <c r="AN80" s="14">
        <f t="shared" si="147"/>
        <v>1.2031025754168268E-3</v>
      </c>
      <c r="AO80" s="14">
        <f t="shared" si="148"/>
        <v>5.8011971230128602E-4</v>
      </c>
      <c r="AP80" s="14">
        <f t="shared" si="149"/>
        <v>9.0540080094587679E-4</v>
      </c>
      <c r="AQ80" s="14">
        <f t="shared" si="150"/>
        <v>0</v>
      </c>
    </row>
    <row r="81" spans="1:43" x14ac:dyDescent="0.25">
      <c r="A81" s="10">
        <f t="shared" si="134"/>
        <v>77</v>
      </c>
      <c r="B81" s="15">
        <f t="shared" si="110"/>
        <v>42840</v>
      </c>
      <c r="C81" s="10">
        <v>2596</v>
      </c>
      <c r="D81" s="11">
        <v>55112432.969999999</v>
      </c>
      <c r="E81" s="12">
        <f t="shared" ref="E81:E99" si="165">+D81/D$4</f>
        <v>0.57408766863976501</v>
      </c>
      <c r="F81" s="11">
        <v>228887.75</v>
      </c>
      <c r="G81" s="11"/>
      <c r="H81" s="11"/>
      <c r="I81" s="11"/>
      <c r="J81" s="11"/>
      <c r="K81" s="11"/>
      <c r="L81" s="11"/>
      <c r="M81" s="17">
        <f>IF(F81&gt;0.01,F81,#REF!)/D80</f>
        <v>4.1204746525768405E-3</v>
      </c>
      <c r="N81" s="17">
        <f t="shared" ref="N81:N85" si="166">1-(+M81-1)^12</f>
        <v>4.8340376441352806E-2</v>
      </c>
      <c r="O81" s="20">
        <f t="shared" ref="O81:O85" si="167">AVERAGE(N79:N81)</f>
        <v>4.1340902721865046E-2</v>
      </c>
      <c r="P81" s="20">
        <f t="shared" ref="P81:P85" si="168">AVERAGE(N76:N81)</f>
        <v>4.1215229247450726E-2</v>
      </c>
      <c r="Q81" s="17">
        <f t="shared" ref="Q81:Q85" si="169">AVERAGE(N70:N81)</f>
        <v>4.8205405755771091E-2</v>
      </c>
      <c r="R81" s="11">
        <v>362556.91</v>
      </c>
      <c r="S81" s="18">
        <v>53997843</v>
      </c>
      <c r="T81" s="18">
        <v>614518</v>
      </c>
      <c r="U81" s="18">
        <v>166581</v>
      </c>
      <c r="V81" s="18">
        <v>68934</v>
      </c>
      <c r="W81" s="18">
        <v>0</v>
      </c>
      <c r="X81" s="18">
        <v>15729</v>
      </c>
      <c r="Y81" s="11">
        <v>16496.27</v>
      </c>
      <c r="Z81" s="11">
        <f t="shared" si="152"/>
        <v>748271.22</v>
      </c>
      <c r="AA81" s="14">
        <f t="shared" si="164"/>
        <v>7.7944895017403315E-3</v>
      </c>
      <c r="AB81" s="11">
        <v>40968106.009999998</v>
      </c>
      <c r="AC81" s="14">
        <f t="shared" si="151"/>
        <v>0.47416789363425921</v>
      </c>
      <c r="AD81" s="13">
        <f t="shared" si="139"/>
        <v>34140088.341666669</v>
      </c>
      <c r="AE81" s="19">
        <v>9600000</v>
      </c>
      <c r="AF81" s="12">
        <f t="shared" ref="AF81:AF93" si="170">+AE81/$AE$4</f>
        <v>1</v>
      </c>
      <c r="AG81" s="12">
        <f t="shared" si="142"/>
        <v>0.74335506168455034</v>
      </c>
      <c r="AH81" s="11">
        <v>417608.78</v>
      </c>
      <c r="AI81" s="14">
        <f t="shared" si="143"/>
        <v>0.26422233523834215</v>
      </c>
      <c r="AK81" s="14">
        <f t="shared" si="144"/>
        <v>0.97977607029965963</v>
      </c>
      <c r="AL81" s="14">
        <f t="shared" si="145"/>
        <v>1.115026078297991E-2</v>
      </c>
      <c r="AM81" s="14">
        <f t="shared" si="146"/>
        <v>3.0225666156069903E-3</v>
      </c>
      <c r="AN81" s="14">
        <f t="shared" si="147"/>
        <v>1.2507885477950802E-3</v>
      </c>
      <c r="AO81" s="14">
        <f t="shared" si="148"/>
        <v>0</v>
      </c>
      <c r="AP81" s="14">
        <f t="shared" si="149"/>
        <v>2.8539839655712445E-4</v>
      </c>
      <c r="AQ81" s="14">
        <f t="shared" si="150"/>
        <v>2.9932030053871165E-4</v>
      </c>
    </row>
    <row r="82" spans="1:43" x14ac:dyDescent="0.25">
      <c r="A82" s="10">
        <f t="shared" si="134"/>
        <v>78</v>
      </c>
      <c r="B82" s="15">
        <f t="shared" si="110"/>
        <v>42870</v>
      </c>
      <c r="C82" s="10">
        <v>2589</v>
      </c>
      <c r="D82" s="11">
        <v>54837801.520000003</v>
      </c>
      <c r="E82" s="12">
        <f t="shared" si="165"/>
        <v>0.57122692523996854</v>
      </c>
      <c r="F82" s="11">
        <v>104811.38</v>
      </c>
      <c r="G82" s="11"/>
      <c r="H82" s="11"/>
      <c r="I82" s="11"/>
      <c r="J82" s="11"/>
      <c r="K82" s="11"/>
      <c r="L82" s="11"/>
      <c r="M82" s="17">
        <f>IF(F82&gt;0.01,F82,#REF!)/D81</f>
        <v>1.9017737804653484E-3</v>
      </c>
      <c r="N82" s="17">
        <f t="shared" si="166"/>
        <v>2.2584087048589607E-2</v>
      </c>
      <c r="O82" s="20">
        <f t="shared" si="167"/>
        <v>3.9986434230611732E-2</v>
      </c>
      <c r="P82" s="20">
        <f t="shared" si="168"/>
        <v>3.7294969426320913E-2</v>
      </c>
      <c r="Q82" s="17">
        <f t="shared" si="169"/>
        <v>4.5197309878233775E-2</v>
      </c>
      <c r="R82" s="11">
        <v>0</v>
      </c>
      <c r="S82" s="18">
        <v>53345643</v>
      </c>
      <c r="T82" s="18">
        <v>836866</v>
      </c>
      <c r="U82" s="18">
        <v>256591</v>
      </c>
      <c r="V82" s="18">
        <v>95859</v>
      </c>
      <c r="W82" s="18">
        <v>54014</v>
      </c>
      <c r="X82" s="18">
        <v>0</v>
      </c>
      <c r="Y82" s="11">
        <v>0</v>
      </c>
      <c r="Z82" s="11">
        <f t="shared" si="152"/>
        <v>748271.22</v>
      </c>
      <c r="AA82" s="14">
        <f t="shared" si="164"/>
        <v>7.7944895017403315E-3</v>
      </c>
      <c r="AB82" s="11">
        <v>40719835.310000002</v>
      </c>
      <c r="AC82" s="14">
        <f t="shared" si="151"/>
        <v>0.47129439016203706</v>
      </c>
      <c r="AD82" s="13">
        <f t="shared" si="139"/>
        <v>33933196.091666669</v>
      </c>
      <c r="AE82" s="19">
        <v>9600000</v>
      </c>
      <c r="AF82" s="12">
        <f t="shared" si="170"/>
        <v>1</v>
      </c>
      <c r="AG82" s="12">
        <f t="shared" si="142"/>
        <v>0.74255047032016752</v>
      </c>
      <c r="AH82" s="11">
        <v>409681.06</v>
      </c>
      <c r="AI82" s="14">
        <f t="shared" si="143"/>
        <v>0.26492030802331851</v>
      </c>
      <c r="AK82" s="14">
        <f t="shared" si="144"/>
        <v>0.972789599899336</v>
      </c>
      <c r="AL82" s="14">
        <f t="shared" si="145"/>
        <v>1.5260750372984681E-2</v>
      </c>
      <c r="AM82" s="14">
        <f t="shared" si="146"/>
        <v>4.6790898410910614E-3</v>
      </c>
      <c r="AN82" s="14">
        <f t="shared" si="147"/>
        <v>1.7480460073702822E-3</v>
      </c>
      <c r="AO82" s="14">
        <f t="shared" si="148"/>
        <v>9.8497748820766369E-4</v>
      </c>
      <c r="AP82" s="14">
        <f t="shared" si="149"/>
        <v>0</v>
      </c>
      <c r="AQ82" s="14">
        <f t="shared" si="150"/>
        <v>0</v>
      </c>
    </row>
    <row r="83" spans="1:43" x14ac:dyDescent="0.25">
      <c r="A83" s="10">
        <f t="shared" si="134"/>
        <v>79</v>
      </c>
      <c r="B83" s="15">
        <f t="shared" si="110"/>
        <v>42901</v>
      </c>
      <c r="C83" s="10">
        <v>2580</v>
      </c>
      <c r="D83" s="11">
        <v>54393534.799999997</v>
      </c>
      <c r="E83" s="12">
        <f t="shared" si="165"/>
        <v>0.5665991483156968</v>
      </c>
      <c r="F83" s="11">
        <v>224337.24</v>
      </c>
      <c r="G83" s="11"/>
      <c r="H83" s="11"/>
      <c r="I83" s="11"/>
      <c r="J83" s="11"/>
      <c r="K83" s="11"/>
      <c r="L83" s="11"/>
      <c r="M83" s="17">
        <f>IF(F83&gt;0.01,F83,#REF!)/D82</f>
        <v>4.0909233007486905E-3</v>
      </c>
      <c r="N83" s="17">
        <f t="shared" si="166"/>
        <v>4.8001450884053054E-2</v>
      </c>
      <c r="O83" s="20">
        <f t="shared" si="167"/>
        <v>3.9641971457998491E-2</v>
      </c>
      <c r="P83" s="20">
        <f t="shared" si="168"/>
        <v>3.79190559991614E-2</v>
      </c>
      <c r="Q83" s="17">
        <f t="shared" si="169"/>
        <v>4.6219222868712745E-2</v>
      </c>
      <c r="R83" s="11">
        <v>0</v>
      </c>
      <c r="S83" s="18">
        <v>53026236</v>
      </c>
      <c r="T83" s="18">
        <v>690453</v>
      </c>
      <c r="U83" s="18">
        <v>300270</v>
      </c>
      <c r="V83" s="18">
        <v>89216</v>
      </c>
      <c r="W83" s="18">
        <v>38530</v>
      </c>
      <c r="X83" s="18">
        <v>0</v>
      </c>
      <c r="Y83" s="11">
        <v>0</v>
      </c>
      <c r="Z83" s="11">
        <f t="shared" si="152"/>
        <v>748271.22</v>
      </c>
      <c r="AA83" s="14">
        <f t="shared" si="164"/>
        <v>7.7944895017403315E-3</v>
      </c>
      <c r="AB83" s="11">
        <v>40284244.82</v>
      </c>
      <c r="AC83" s="14">
        <f t="shared" si="151"/>
        <v>0.46625283356481484</v>
      </c>
      <c r="AD83" s="13">
        <f t="shared" si="139"/>
        <v>33570204.016666666</v>
      </c>
      <c r="AE83" s="19">
        <v>9600000</v>
      </c>
      <c r="AF83" s="12">
        <f t="shared" si="170"/>
        <v>1</v>
      </c>
      <c r="AG83" s="12">
        <f t="shared" si="142"/>
        <v>0.74060722415120561</v>
      </c>
      <c r="AH83" s="11">
        <v>407198.35</v>
      </c>
      <c r="AI83" s="14">
        <f t="shared" si="143"/>
        <v>0.26687892933187346</v>
      </c>
      <c r="AK83" s="14">
        <f t="shared" si="144"/>
        <v>0.97486284344219531</v>
      </c>
      <c r="AL83" s="14">
        <f t="shared" si="145"/>
        <v>1.2693659320702946E-2</v>
      </c>
      <c r="AM83" s="14">
        <f t="shared" si="146"/>
        <v>5.5203251839407944E-3</v>
      </c>
      <c r="AN83" s="14">
        <f t="shared" si="147"/>
        <v>1.6401949299312683E-3</v>
      </c>
      <c r="AO83" s="14">
        <f t="shared" si="148"/>
        <v>7.0835624383800853E-4</v>
      </c>
      <c r="AP83" s="14">
        <f t="shared" si="149"/>
        <v>0</v>
      </c>
      <c r="AQ83" s="14">
        <f t="shared" si="150"/>
        <v>0</v>
      </c>
    </row>
    <row r="84" spans="1:43" x14ac:dyDescent="0.25">
      <c r="A84" s="10">
        <f t="shared" si="134"/>
        <v>80</v>
      </c>
      <c r="B84" s="15">
        <f t="shared" si="110"/>
        <v>42931</v>
      </c>
      <c r="C84" s="10">
        <v>2567</v>
      </c>
      <c r="D84" s="11">
        <v>53968167.530000001</v>
      </c>
      <c r="E84" s="12">
        <f t="shared" si="165"/>
        <v>0.56216824060231585</v>
      </c>
      <c r="F84" s="11">
        <v>198502.05</v>
      </c>
      <c r="G84" s="11"/>
      <c r="H84" s="11"/>
      <c r="I84" s="11"/>
      <c r="J84" s="11"/>
      <c r="K84" s="11"/>
      <c r="L84" s="11"/>
      <c r="M84" s="17">
        <f>IF(F84&gt;0.01,F84,#REF!)/D83</f>
        <v>3.6493684539876605E-3</v>
      </c>
      <c r="N84" s="17">
        <f t="shared" si="166"/>
        <v>4.292404582996634E-2</v>
      </c>
      <c r="O84" s="20">
        <f t="shared" si="167"/>
        <v>3.7836527920869667E-2</v>
      </c>
      <c r="P84" s="20">
        <f t="shared" si="168"/>
        <v>3.9588715321367353E-2</v>
      </c>
      <c r="Q84" s="17">
        <f t="shared" si="169"/>
        <v>4.5648996156267385E-2</v>
      </c>
      <c r="R84" s="11">
        <v>1003827.17</v>
      </c>
      <c r="S84" s="18">
        <v>52709309</v>
      </c>
      <c r="T84" s="18">
        <v>588962</v>
      </c>
      <c r="U84" s="18">
        <v>281894</v>
      </c>
      <c r="V84" s="18">
        <v>65457</v>
      </c>
      <c r="W84" s="18">
        <v>51780</v>
      </c>
      <c r="X84" s="18">
        <v>38530</v>
      </c>
      <c r="Y84" s="11">
        <v>0</v>
      </c>
      <c r="Z84" s="11">
        <f t="shared" si="152"/>
        <v>748271.22</v>
      </c>
      <c r="AA84" s="14">
        <f t="shared" si="164"/>
        <v>7.7944895017403315E-3</v>
      </c>
      <c r="AB84" s="11">
        <v>38868417.990000002</v>
      </c>
      <c r="AC84" s="14">
        <f t="shared" si="151"/>
        <v>0.44986594895833337</v>
      </c>
      <c r="AD84" s="13">
        <f t="shared" si="139"/>
        <v>32390348.325000003</v>
      </c>
      <c r="AE84" s="19">
        <v>9600000</v>
      </c>
      <c r="AF84" s="12">
        <f t="shared" si="170"/>
        <v>1</v>
      </c>
      <c r="AG84" s="12">
        <f t="shared" si="142"/>
        <v>0.72021007510387858</v>
      </c>
      <c r="AH84" s="11">
        <v>402842.45</v>
      </c>
      <c r="AI84" s="14">
        <f t="shared" si="143"/>
        <v>0.28725437048390368</v>
      </c>
      <c r="AK84" s="14">
        <f t="shared" si="144"/>
        <v>0.97667405458411716</v>
      </c>
      <c r="AL84" s="14">
        <f t="shared" si="145"/>
        <v>1.0913136890790407E-2</v>
      </c>
      <c r="AM84" s="14">
        <f t="shared" si="146"/>
        <v>5.2233383659598936E-3</v>
      </c>
      <c r="AN84" s="14">
        <f t="shared" si="147"/>
        <v>1.2128816484942451E-3</v>
      </c>
      <c r="AO84" s="14">
        <f t="shared" si="148"/>
        <v>9.5945447788673506E-4</v>
      </c>
      <c r="AP84" s="14">
        <f t="shared" si="149"/>
        <v>7.1393937877512359E-4</v>
      </c>
      <c r="AQ84" s="14">
        <f t="shared" si="150"/>
        <v>0</v>
      </c>
    </row>
    <row r="85" spans="1:43" x14ac:dyDescent="0.25">
      <c r="A85" s="10">
        <f t="shared" si="134"/>
        <v>81</v>
      </c>
      <c r="B85" s="15">
        <f t="shared" si="110"/>
        <v>42962</v>
      </c>
      <c r="C85" s="10">
        <v>2557</v>
      </c>
      <c r="D85" s="11">
        <v>53488057.299999997</v>
      </c>
      <c r="E85" s="12">
        <f t="shared" si="165"/>
        <v>0.55716709389589414</v>
      </c>
      <c r="F85" s="11">
        <v>231011.35</v>
      </c>
      <c r="G85" s="11"/>
      <c r="H85" s="11"/>
      <c r="I85" s="11"/>
      <c r="J85" s="11"/>
      <c r="K85" s="11"/>
      <c r="L85" s="11"/>
      <c r="M85" s="17">
        <f>IF(F85&gt;0.01,F85,#REF!)/D84</f>
        <v>4.2805112823514832E-3</v>
      </c>
      <c r="N85" s="17">
        <f t="shared" si="166"/>
        <v>5.0173921853585823E-2</v>
      </c>
      <c r="O85" s="20">
        <f t="shared" si="167"/>
        <v>4.7033139522535072E-2</v>
      </c>
      <c r="P85" s="20">
        <f t="shared" si="168"/>
        <v>4.3509786876573399E-2</v>
      </c>
      <c r="Q85" s="17">
        <f t="shared" si="169"/>
        <v>4.4144798703654266E-2</v>
      </c>
      <c r="R85" s="11">
        <v>0</v>
      </c>
      <c r="S85" s="18">
        <v>52318582</v>
      </c>
      <c r="T85" s="18">
        <v>561827</v>
      </c>
      <c r="U85" s="18">
        <v>195536</v>
      </c>
      <c r="V85" s="18">
        <v>100739</v>
      </c>
      <c r="W85" s="18">
        <v>40607</v>
      </c>
      <c r="X85" s="18">
        <v>0</v>
      </c>
      <c r="Y85" s="11">
        <v>38530.269999999997</v>
      </c>
      <c r="Z85" s="11">
        <f t="shared" si="152"/>
        <v>786801.49</v>
      </c>
      <c r="AA85" s="14">
        <f t="shared" si="164"/>
        <v>8.1958463587021961E-3</v>
      </c>
      <c r="AB85" s="11">
        <v>38387545.219999999</v>
      </c>
      <c r="AC85" s="14">
        <f t="shared" si="151"/>
        <v>0.44430029189814813</v>
      </c>
      <c r="AD85" s="13">
        <f t="shared" si="139"/>
        <v>31989621.016666666</v>
      </c>
      <c r="AE85" s="19">
        <v>9600000</v>
      </c>
      <c r="AF85" s="12">
        <f t="shared" si="170"/>
        <v>1</v>
      </c>
      <c r="AG85" s="12">
        <f t="shared" si="142"/>
        <v>0.71768441700349439</v>
      </c>
      <c r="AH85" s="11">
        <v>388684.18</v>
      </c>
      <c r="AI85" s="14">
        <f t="shared" si="143"/>
        <v>0.28958232999799</v>
      </c>
      <c r="AK85" s="14">
        <f t="shared" si="144"/>
        <v>0.97813576788850776</v>
      </c>
      <c r="AL85" s="14">
        <f t="shared" si="145"/>
        <v>1.0503783991421951E-2</v>
      </c>
      <c r="AM85" s="14">
        <f t="shared" si="146"/>
        <v>3.6556945581943954E-3</v>
      </c>
      <c r="AN85" s="14">
        <f t="shared" si="147"/>
        <v>1.8833923886033528E-3</v>
      </c>
      <c r="AO85" s="14">
        <f t="shared" si="148"/>
        <v>7.5917881579146455E-4</v>
      </c>
      <c r="AP85" s="14">
        <f t="shared" si="149"/>
        <v>0</v>
      </c>
      <c r="AQ85" s="14">
        <f t="shared" si="150"/>
        <v>7.2035276555089986E-4</v>
      </c>
    </row>
    <row r="86" spans="1:43" x14ac:dyDescent="0.25">
      <c r="A86" s="10">
        <f t="shared" si="134"/>
        <v>82</v>
      </c>
      <c r="B86" s="15">
        <f t="shared" si="110"/>
        <v>42993</v>
      </c>
      <c r="C86" s="10">
        <v>2546</v>
      </c>
      <c r="D86" s="11">
        <v>53090401.060000002</v>
      </c>
      <c r="E86" s="12">
        <f t="shared" si="165"/>
        <v>0.55302484265712348</v>
      </c>
      <c r="F86" s="10">
        <v>214394.05</v>
      </c>
      <c r="M86" s="17">
        <f>IF(F86&gt;0.01,F86,#REF!)/D85</f>
        <v>4.0082601766132939E-3</v>
      </c>
      <c r="N86" s="17">
        <f t="shared" ref="N86" si="171">1-(+M86-1)^12</f>
        <v>4.7052796696232191E-2</v>
      </c>
      <c r="O86" s="20">
        <f t="shared" ref="O86" si="172">AVERAGE(N84:N86)</f>
        <v>4.6716921459928118E-2</v>
      </c>
      <c r="P86" s="20">
        <f t="shared" ref="P86" si="173">AVERAGE(N81:N86)</f>
        <v>4.3179446458963301E-2</v>
      </c>
      <c r="Q86" s="17">
        <f t="shared" ref="Q86" si="174">AVERAGE(N75:N86)</f>
        <v>4.4650775661861243E-2</v>
      </c>
      <c r="R86" s="11">
        <v>0</v>
      </c>
      <c r="S86" s="18">
        <v>52156736</v>
      </c>
      <c r="T86" s="18">
        <v>395348</v>
      </c>
      <c r="U86" s="18">
        <v>160980</v>
      </c>
      <c r="V86" s="18">
        <v>0</v>
      </c>
      <c r="W86" s="18">
        <v>106572</v>
      </c>
      <c r="X86" s="18">
        <v>0</v>
      </c>
      <c r="Y86" s="11">
        <v>0</v>
      </c>
      <c r="Z86" s="11">
        <f t="shared" si="152"/>
        <v>786801.49</v>
      </c>
      <c r="AA86" s="14">
        <f t="shared" si="164"/>
        <v>8.1958463587021961E-3</v>
      </c>
      <c r="AB86" s="11">
        <v>37985073.219999999</v>
      </c>
      <c r="AC86" s="14">
        <f t="shared" si="151"/>
        <v>0.4396420511574074</v>
      </c>
      <c r="AD86" s="13">
        <f t="shared" si="139"/>
        <v>31654227.683333334</v>
      </c>
      <c r="AE86" s="19">
        <v>9600000</v>
      </c>
      <c r="AF86" s="12">
        <f t="shared" si="170"/>
        <v>1</v>
      </c>
      <c r="AG86" s="12">
        <f t="shared" si="142"/>
        <v>0.71547911602836167</v>
      </c>
      <c r="AH86" s="11">
        <v>383875.45</v>
      </c>
      <c r="AI86" s="14">
        <f t="shared" si="143"/>
        <v>0.29175148389809519</v>
      </c>
      <c r="AK86" s="14">
        <f t="shared" si="144"/>
        <v>0.98241367476307395</v>
      </c>
      <c r="AL86" s="14">
        <f t="shared" si="145"/>
        <v>7.4466945456523924E-3</v>
      </c>
      <c r="AM86" s="14">
        <f t="shared" si="146"/>
        <v>3.0321865494681195E-3</v>
      </c>
      <c r="AN86" s="14">
        <f t="shared" si="147"/>
        <v>0</v>
      </c>
      <c r="AO86" s="14">
        <f t="shared" si="148"/>
        <v>2.0073685237291367E-3</v>
      </c>
      <c r="AP86" s="14">
        <f t="shared" si="149"/>
        <v>0</v>
      </c>
      <c r="AQ86" s="14">
        <f t="shared" si="150"/>
        <v>0</v>
      </c>
    </row>
    <row r="87" spans="1:43" x14ac:dyDescent="0.25">
      <c r="A87" s="10">
        <f t="shared" si="134"/>
        <v>83</v>
      </c>
      <c r="B87" s="15">
        <f t="shared" si="110"/>
        <v>43023</v>
      </c>
      <c r="C87" s="10">
        <v>2531</v>
      </c>
      <c r="D87" s="11">
        <v>52580098.469999999</v>
      </c>
      <c r="E87" s="12">
        <f t="shared" si="165"/>
        <v>0.54770919229646153</v>
      </c>
      <c r="F87" s="11">
        <v>291672.61</v>
      </c>
      <c r="G87" s="11"/>
      <c r="H87" s="11"/>
      <c r="I87" s="11"/>
      <c r="J87" s="11"/>
      <c r="K87" s="11"/>
      <c r="L87" s="11"/>
      <c r="M87" s="17">
        <f>IF(F87&gt;0.01,F87,#REF!)/D86</f>
        <v>5.4938859789431015E-3</v>
      </c>
      <c r="N87" s="17">
        <f t="shared" ref="N87:N93" si="175">1-(+M87-1)^12</f>
        <v>6.3970601622076462E-2</v>
      </c>
      <c r="O87" s="20">
        <f t="shared" ref="O87:O92" si="176">AVERAGE(N85:N87)</f>
        <v>5.3732440057298159E-2</v>
      </c>
      <c r="P87" s="20">
        <f t="shared" ref="P87:P93" si="177">AVERAGE(N82:N87)</f>
        <v>4.5784483989083913E-2</v>
      </c>
      <c r="Q87" s="17">
        <f t="shared" ref="Q87:Q93" si="178">AVERAGE(N76:N87)</f>
        <v>4.3499856618267323E-2</v>
      </c>
      <c r="R87" s="11">
        <v>363733.02</v>
      </c>
      <c r="S87" s="18">
        <v>51590410</v>
      </c>
      <c r="T87" s="18">
        <v>542182</v>
      </c>
      <c r="U87" s="18">
        <v>81859</v>
      </c>
      <c r="V87" s="18">
        <v>25627</v>
      </c>
      <c r="W87" s="18">
        <v>35627</v>
      </c>
      <c r="X87" s="18">
        <v>86312</v>
      </c>
      <c r="Y87" s="11">
        <v>0</v>
      </c>
      <c r="Z87" s="11">
        <f t="shared" si="152"/>
        <v>786801.49</v>
      </c>
      <c r="AA87" s="14">
        <f t="shared" si="164"/>
        <v>8.1958463587021961E-3</v>
      </c>
      <c r="AB87" s="11">
        <v>37115194.409999996</v>
      </c>
      <c r="AC87" s="14">
        <f t="shared" si="151"/>
        <v>0.42957400937499995</v>
      </c>
      <c r="AD87" s="13">
        <f t="shared" si="139"/>
        <v>30929328.674999997</v>
      </c>
      <c r="AE87" s="19">
        <v>9600000</v>
      </c>
      <c r="AF87" s="12">
        <f t="shared" si="170"/>
        <v>1</v>
      </c>
      <c r="AG87" s="12">
        <f t="shared" si="142"/>
        <v>0.70587913469154817</v>
      </c>
      <c r="AH87" s="11">
        <v>379850.73</v>
      </c>
      <c r="AI87" s="14">
        <f t="shared" si="143"/>
        <v>0.30134509540792043</v>
      </c>
      <c r="AK87" s="14">
        <f t="shared" si="144"/>
        <v>0.98117750824364325</v>
      </c>
      <c r="AL87" s="14">
        <f t="shared" si="145"/>
        <v>1.0311544020963489E-2</v>
      </c>
      <c r="AM87" s="14">
        <f t="shared" si="146"/>
        <v>1.5568437941725292E-3</v>
      </c>
      <c r="AN87" s="14">
        <f t="shared" si="147"/>
        <v>4.8738973006339447E-4</v>
      </c>
      <c r="AO87" s="14">
        <f t="shared" si="148"/>
        <v>6.7757575654460358E-4</v>
      </c>
      <c r="AP87" s="14">
        <f t="shared" si="149"/>
        <v>1.6415336317646117E-3</v>
      </c>
      <c r="AQ87" s="14">
        <f t="shared" si="150"/>
        <v>0</v>
      </c>
    </row>
    <row r="88" spans="1:43" x14ac:dyDescent="0.25">
      <c r="A88" s="10">
        <f t="shared" si="134"/>
        <v>84</v>
      </c>
      <c r="B88" s="15">
        <f t="shared" si="110"/>
        <v>43054</v>
      </c>
      <c r="C88" s="10">
        <v>2521</v>
      </c>
      <c r="D88" s="11">
        <v>52135478.789999999</v>
      </c>
      <c r="E88" s="12">
        <f t="shared" si="165"/>
        <v>0.54307773870664267</v>
      </c>
      <c r="F88" s="11">
        <v>191319.51</v>
      </c>
      <c r="G88" s="11"/>
      <c r="H88" s="11"/>
      <c r="I88" s="11"/>
      <c r="J88" s="11"/>
      <c r="K88" s="11"/>
      <c r="L88" s="11"/>
      <c r="M88" s="17">
        <f>IF(F88&gt;0.01,F88,#REF!)/D87</f>
        <v>3.6386297395231944E-3</v>
      </c>
      <c r="N88" s="17">
        <f t="shared" si="175"/>
        <v>4.2800253570324798E-2</v>
      </c>
      <c r="O88" s="20">
        <f t="shared" si="176"/>
        <v>5.1274550629544481E-2</v>
      </c>
      <c r="P88" s="20">
        <f t="shared" si="177"/>
        <v>4.915384507603978E-2</v>
      </c>
      <c r="Q88" s="17">
        <f t="shared" si="178"/>
        <v>4.3224407251180347E-2</v>
      </c>
      <c r="R88" s="11">
        <v>0</v>
      </c>
      <c r="S88" s="18">
        <v>51249519</v>
      </c>
      <c r="T88" s="18">
        <v>481873</v>
      </c>
      <c r="U88" s="18">
        <v>141208</v>
      </c>
      <c r="V88" s="18">
        <v>0</v>
      </c>
      <c r="W88" s="18">
        <v>5875</v>
      </c>
      <c r="X88" s="18">
        <v>0</v>
      </c>
      <c r="Y88" s="11">
        <v>68190.539999999994</v>
      </c>
      <c r="Z88" s="11">
        <f t="shared" si="152"/>
        <v>854992.03</v>
      </c>
      <c r="AA88" s="14">
        <f t="shared" si="164"/>
        <v>8.9061642674251925E-3</v>
      </c>
      <c r="AB88" s="11">
        <v>36677468.5</v>
      </c>
      <c r="AC88" s="14">
        <f t="shared" si="151"/>
        <v>0.42450773726851854</v>
      </c>
      <c r="AD88" s="13">
        <f t="shared" si="139"/>
        <v>30564557.083333336</v>
      </c>
      <c r="AE88" s="19">
        <v>9600000</v>
      </c>
      <c r="AF88" s="12">
        <f t="shared" si="170"/>
        <v>1</v>
      </c>
      <c r="AG88" s="12">
        <f t="shared" si="142"/>
        <v>0.70350305303103944</v>
      </c>
      <c r="AH88" s="11">
        <v>371151.94</v>
      </c>
      <c r="AI88" s="14">
        <f t="shared" si="143"/>
        <v>0.30361593673589043</v>
      </c>
      <c r="AK88" s="14">
        <f t="shared" si="144"/>
        <v>0.98300658571548527</v>
      </c>
      <c r="AL88" s="14">
        <f t="shared" si="145"/>
        <v>9.2427078677260969E-3</v>
      </c>
      <c r="AM88" s="14">
        <f t="shared" si="146"/>
        <v>2.7084818875219539E-3</v>
      </c>
      <c r="AN88" s="14">
        <f t="shared" si="147"/>
        <v>0</v>
      </c>
      <c r="AO88" s="14">
        <f t="shared" si="148"/>
        <v>1.1268717841192766E-4</v>
      </c>
      <c r="AP88" s="14">
        <f t="shared" si="149"/>
        <v>0</v>
      </c>
      <c r="AQ88" s="14">
        <f t="shared" si="150"/>
        <v>1.3079488590613938E-3</v>
      </c>
    </row>
    <row r="89" spans="1:43" x14ac:dyDescent="0.25">
      <c r="A89" s="10">
        <f t="shared" si="134"/>
        <v>85</v>
      </c>
      <c r="B89" s="15">
        <f t="shared" si="110"/>
        <v>43084</v>
      </c>
      <c r="C89" s="10">
        <v>2509</v>
      </c>
      <c r="D89" s="11">
        <v>51725742.350000001</v>
      </c>
      <c r="E89" s="12">
        <f t="shared" si="165"/>
        <v>0.53880965208951948</v>
      </c>
      <c r="F89" s="11">
        <v>246459.47</v>
      </c>
      <c r="G89" s="11"/>
      <c r="H89" s="11"/>
      <c r="I89" s="11"/>
      <c r="J89" s="11"/>
      <c r="K89" s="11"/>
      <c r="L89" s="11"/>
      <c r="M89" s="17">
        <f>IF(F89&gt;0.01,F89,#REF!)/D88</f>
        <v>4.7272888965445327E-3</v>
      </c>
      <c r="N89" s="17">
        <f t="shared" si="175"/>
        <v>5.5275543464669008E-2</v>
      </c>
      <c r="O89" s="20">
        <f t="shared" si="176"/>
        <v>5.4015466219023422E-2</v>
      </c>
      <c r="P89" s="20">
        <f t="shared" si="177"/>
        <v>5.036619383947577E-2</v>
      </c>
      <c r="Q89" s="17">
        <f t="shared" si="178"/>
        <v>4.4142624919318585E-2</v>
      </c>
      <c r="R89" s="11">
        <v>0</v>
      </c>
      <c r="S89" s="18">
        <v>50622721</v>
      </c>
      <c r="T89" s="18">
        <v>633025</v>
      </c>
      <c r="U89" s="18">
        <v>195233</v>
      </c>
      <c r="V89" s="18">
        <v>39199</v>
      </c>
      <c r="W89" s="18">
        <v>0</v>
      </c>
      <c r="X89" s="18">
        <v>5875</v>
      </c>
      <c r="Y89" s="11">
        <v>0</v>
      </c>
      <c r="Z89" s="11">
        <f t="shared" si="152"/>
        <v>854992.03</v>
      </c>
      <c r="AA89" s="14">
        <f t="shared" si="164"/>
        <v>8.9061642674251925E-3</v>
      </c>
      <c r="AB89" s="11">
        <v>36259773.100000001</v>
      </c>
      <c r="AC89" s="14">
        <f t="shared" si="151"/>
        <v>0.41967329976851853</v>
      </c>
      <c r="AD89" s="13">
        <f t="shared" si="139"/>
        <v>30216477.583333336</v>
      </c>
      <c r="AE89" s="19">
        <v>9600000</v>
      </c>
      <c r="AF89" s="12">
        <f t="shared" si="170"/>
        <v>1</v>
      </c>
      <c r="AG89" s="12">
        <f t="shared" si="142"/>
        <v>0.70100053576128141</v>
      </c>
      <c r="AH89" s="11">
        <v>366771.69</v>
      </c>
      <c r="AI89" s="14">
        <f t="shared" si="143"/>
        <v>0.30609016363396857</v>
      </c>
      <c r="AK89" s="14">
        <f t="shared" si="144"/>
        <v>0.97867558202381211</v>
      </c>
      <c r="AL89" s="14">
        <f t="shared" si="145"/>
        <v>1.2238103722449524E-2</v>
      </c>
      <c r="AM89" s="14">
        <f t="shared" si="146"/>
        <v>3.7743875898187083E-3</v>
      </c>
      <c r="AN89" s="14">
        <f t="shared" si="147"/>
        <v>7.5782382657288243E-4</v>
      </c>
      <c r="AO89" s="14">
        <f t="shared" si="148"/>
        <v>0</v>
      </c>
      <c r="AP89" s="14">
        <f t="shared" si="149"/>
        <v>1.1357981022770183E-4</v>
      </c>
      <c r="AQ89" s="14">
        <f t="shared" si="150"/>
        <v>0</v>
      </c>
    </row>
    <row r="90" spans="1:43" x14ac:dyDescent="0.25">
      <c r="A90" s="10">
        <f t="shared" si="134"/>
        <v>86</v>
      </c>
      <c r="B90" s="15">
        <f t="shared" si="110"/>
        <v>43115</v>
      </c>
      <c r="C90" s="10">
        <v>2501</v>
      </c>
      <c r="D90" s="11">
        <v>51396346.329999998</v>
      </c>
      <c r="E90" s="12">
        <f t="shared" si="165"/>
        <v>0.53537844459258399</v>
      </c>
      <c r="F90" s="11">
        <v>123740.24</v>
      </c>
      <c r="G90" s="11"/>
      <c r="H90" s="11"/>
      <c r="I90" s="11"/>
      <c r="J90" s="11"/>
      <c r="K90" s="11"/>
      <c r="L90" s="11"/>
      <c r="M90" s="17">
        <f>IF(F90&gt;0.01,F90,#REF!)/D89</f>
        <v>2.3922371024221755E-3</v>
      </c>
      <c r="N90" s="17">
        <f t="shared" si="175"/>
        <v>2.8332136252029905E-2</v>
      </c>
      <c r="O90" s="20">
        <f t="shared" si="176"/>
        <v>4.2135977762341237E-2</v>
      </c>
      <c r="P90" s="20">
        <f t="shared" si="177"/>
        <v>4.7934208909819698E-2</v>
      </c>
      <c r="Q90" s="17">
        <f t="shared" si="178"/>
        <v>4.3761462115593529E-2</v>
      </c>
      <c r="R90" s="11">
        <v>0</v>
      </c>
      <c r="S90" s="18">
        <v>50416967</v>
      </c>
      <c r="T90" s="18">
        <v>444190</v>
      </c>
      <c r="U90" s="18">
        <v>161212</v>
      </c>
      <c r="V90" s="18">
        <v>111596</v>
      </c>
      <c r="W90" s="18">
        <v>26897</v>
      </c>
      <c r="X90" s="18">
        <v>5875</v>
      </c>
      <c r="Y90" s="11">
        <v>0</v>
      </c>
      <c r="Z90" s="11">
        <f t="shared" si="152"/>
        <v>854992.03</v>
      </c>
      <c r="AA90" s="14">
        <f t="shared" si="164"/>
        <v>8.9061642674251925E-3</v>
      </c>
      <c r="AB90" s="11">
        <v>35907766.210000001</v>
      </c>
      <c r="AC90" s="14">
        <f t="shared" si="151"/>
        <v>0.4155991459490741</v>
      </c>
      <c r="AD90" s="13">
        <f t="shared" si="139"/>
        <v>29923138.508333337</v>
      </c>
      <c r="AE90" s="19">
        <v>9600000</v>
      </c>
      <c r="AF90" s="12">
        <f t="shared" si="170"/>
        <v>1</v>
      </c>
      <c r="AG90" s="12">
        <f t="shared" si="142"/>
        <v>0.69864433513322854</v>
      </c>
      <c r="AH90" s="11">
        <v>362597.73</v>
      </c>
      <c r="AI90" s="14">
        <f t="shared" si="143"/>
        <v>0.30841059689777356</v>
      </c>
      <c r="AK90" s="14">
        <f t="shared" si="144"/>
        <v>0.98094457291357429</v>
      </c>
      <c r="AL90" s="14">
        <f t="shared" si="145"/>
        <v>8.6424431251979229E-3</v>
      </c>
      <c r="AM90" s="14">
        <f t="shared" si="146"/>
        <v>3.1366431957032073E-3</v>
      </c>
      <c r="AN90" s="14">
        <f t="shared" si="147"/>
        <v>2.1712827461212261E-3</v>
      </c>
      <c r="AO90" s="14">
        <f t="shared" si="148"/>
        <v>5.2332513730261496E-4</v>
      </c>
      <c r="AP90" s="14">
        <f t="shared" si="149"/>
        <v>1.1430773624020757E-4</v>
      </c>
      <c r="AQ90" s="14">
        <f t="shared" si="150"/>
        <v>0</v>
      </c>
    </row>
    <row r="91" spans="1:43" x14ac:dyDescent="0.25">
      <c r="A91" s="10">
        <f t="shared" si="134"/>
        <v>87</v>
      </c>
      <c r="B91" s="15">
        <f t="shared" si="110"/>
        <v>43146</v>
      </c>
      <c r="C91" s="10">
        <v>2488</v>
      </c>
      <c r="D91" s="11">
        <v>50954302.710000001</v>
      </c>
      <c r="E91" s="12">
        <f t="shared" si="165"/>
        <v>0.53077382495292813</v>
      </c>
      <c r="F91" s="11">
        <v>276255.62</v>
      </c>
      <c r="G91" s="11"/>
      <c r="H91" s="11"/>
      <c r="I91" s="11"/>
      <c r="J91" s="11"/>
      <c r="K91" s="11"/>
      <c r="L91" s="11"/>
      <c r="M91" s="17">
        <f>IF(F91&gt;0.01,F91,#REF!)/D90</f>
        <v>5.3750050290782992E-3</v>
      </c>
      <c r="N91" s="17">
        <f t="shared" si="175"/>
        <v>6.2627029159470826E-2</v>
      </c>
      <c r="O91" s="20">
        <f t="shared" si="176"/>
        <v>4.8744902958723246E-2</v>
      </c>
      <c r="P91" s="20">
        <f t="shared" si="177"/>
        <v>5.0009726794133867E-2</v>
      </c>
      <c r="Q91" s="17">
        <f t="shared" si="178"/>
        <v>4.6759756835353633E-2</v>
      </c>
      <c r="R91" s="11">
        <v>0</v>
      </c>
      <c r="S91" s="18">
        <v>49815312</v>
      </c>
      <c r="T91" s="18">
        <v>550251</v>
      </c>
      <c r="U91" s="18">
        <v>146790</v>
      </c>
      <c r="V91" s="18">
        <v>134839</v>
      </c>
      <c r="W91" s="18">
        <v>71536</v>
      </c>
      <c r="X91" s="18">
        <v>0</v>
      </c>
      <c r="Y91" s="11">
        <v>0</v>
      </c>
      <c r="Z91" s="11">
        <f t="shared" si="152"/>
        <v>854992.03</v>
      </c>
      <c r="AA91" s="14">
        <f t="shared" si="164"/>
        <v>8.9061642674251925E-3</v>
      </c>
      <c r="AB91" s="11">
        <v>35403789.159999996</v>
      </c>
      <c r="AC91" s="14">
        <f t="shared" si="151"/>
        <v>0.40976607824074068</v>
      </c>
      <c r="AD91" s="13">
        <f t="shared" si="139"/>
        <v>29503157.633333333</v>
      </c>
      <c r="AE91" s="19">
        <v>9600000</v>
      </c>
      <c r="AF91" s="12">
        <f t="shared" si="170"/>
        <v>1</v>
      </c>
      <c r="AG91" s="12">
        <f t="shared" si="142"/>
        <v>0.69481451569450781</v>
      </c>
      <c r="AH91" s="11">
        <v>359077.66</v>
      </c>
      <c r="AI91" s="14">
        <f t="shared" si="143"/>
        <v>0.31223253707439463</v>
      </c>
      <c r="AK91" s="14">
        <f t="shared" si="144"/>
        <v>0.97764681980867396</v>
      </c>
      <c r="AL91" s="14">
        <f t="shared" si="145"/>
        <v>1.0798911391873701E-2</v>
      </c>
      <c r="AM91" s="14">
        <f t="shared" si="146"/>
        <v>2.8808165786398218E-3</v>
      </c>
      <c r="AN91" s="14">
        <f t="shared" si="147"/>
        <v>2.6462730884066689E-3</v>
      </c>
      <c r="AO91" s="14">
        <f t="shared" si="148"/>
        <v>1.403924618635999E-3</v>
      </c>
      <c r="AP91" s="14">
        <f t="shared" si="149"/>
        <v>0</v>
      </c>
      <c r="AQ91" s="14">
        <f t="shared" si="150"/>
        <v>0</v>
      </c>
    </row>
    <row r="92" spans="1:43" x14ac:dyDescent="0.25">
      <c r="A92" s="10">
        <f t="shared" si="134"/>
        <v>88</v>
      </c>
      <c r="B92" s="15">
        <f t="shared" si="110"/>
        <v>43174</v>
      </c>
      <c r="C92" s="10">
        <v>2475</v>
      </c>
      <c r="D92" s="11">
        <v>50533131.079999998</v>
      </c>
      <c r="E92" s="12">
        <f t="shared" si="165"/>
        <v>0.5263866218095733</v>
      </c>
      <c r="F92" s="11">
        <v>189699.63</v>
      </c>
      <c r="G92" s="11"/>
      <c r="H92" s="11"/>
      <c r="I92" s="11"/>
      <c r="J92" s="11"/>
      <c r="K92" s="11"/>
      <c r="L92" s="11"/>
      <c r="M92" s="17">
        <f>IF(F92&gt;0.01,F92,#REF!)/D91</f>
        <v>3.7229364334480557E-3</v>
      </c>
      <c r="N92" s="17">
        <f t="shared" si="175"/>
        <v>4.3771717984370295E-2</v>
      </c>
      <c r="O92" s="20">
        <f t="shared" si="176"/>
        <v>4.4910294465290344E-2</v>
      </c>
      <c r="P92" s="20">
        <f t="shared" si="177"/>
        <v>4.946288034215688E-2</v>
      </c>
      <c r="Q92" s="17">
        <f t="shared" si="178"/>
        <v>4.6321163400560091E-2</v>
      </c>
      <c r="R92" s="11">
        <v>0</v>
      </c>
      <c r="S92" s="18">
        <v>49243342</v>
      </c>
      <c r="T92" s="18">
        <v>620947</v>
      </c>
      <c r="U92" s="18">
        <v>218978</v>
      </c>
      <c r="V92" s="18">
        <v>66434</v>
      </c>
      <c r="W92" s="18">
        <v>76320</v>
      </c>
      <c r="X92" s="18">
        <v>71536</v>
      </c>
      <c r="Y92" s="11">
        <v>0</v>
      </c>
      <c r="Z92" s="11">
        <f t="shared" si="152"/>
        <v>854992.03</v>
      </c>
      <c r="AA92" s="14">
        <f t="shared" si="164"/>
        <v>8.9061642674251925E-3</v>
      </c>
      <c r="AB92" s="11">
        <v>34966014.530000001</v>
      </c>
      <c r="AC92" s="14">
        <f t="shared" si="151"/>
        <v>0.40469924224537041</v>
      </c>
      <c r="AD92" s="13">
        <f t="shared" si="139"/>
        <v>29138345.44166667</v>
      </c>
      <c r="AE92" s="19">
        <v>9600000</v>
      </c>
      <c r="AF92" s="12">
        <f t="shared" si="170"/>
        <v>1</v>
      </c>
      <c r="AG92" s="12">
        <f t="shared" si="142"/>
        <v>0.69194237092976907</v>
      </c>
      <c r="AH92" s="11">
        <v>354037.89</v>
      </c>
      <c r="AI92" s="14">
        <f t="shared" si="143"/>
        <v>0.31506368395805323</v>
      </c>
      <c r="AK92" s="14">
        <f t="shared" si="144"/>
        <v>0.97447636723799858</v>
      </c>
      <c r="AL92" s="14">
        <f t="shared" si="145"/>
        <v>1.2287918573993892E-2</v>
      </c>
      <c r="AM92" s="14">
        <f t="shared" si="146"/>
        <v>4.3333550745813E-3</v>
      </c>
      <c r="AN92" s="14">
        <f t="shared" si="147"/>
        <v>1.3146622538553374E-3</v>
      </c>
      <c r="AO92" s="14">
        <f t="shared" si="148"/>
        <v>1.5102962822386031E-3</v>
      </c>
      <c r="AP92" s="14">
        <f t="shared" si="149"/>
        <v>1.4156257186349673E-3</v>
      </c>
      <c r="AQ92" s="14">
        <f t="shared" si="150"/>
        <v>0</v>
      </c>
    </row>
    <row r="93" spans="1:43" x14ac:dyDescent="0.25">
      <c r="A93" s="10">
        <f t="shared" si="134"/>
        <v>89</v>
      </c>
      <c r="B93" s="15">
        <f t="shared" si="110"/>
        <v>43205</v>
      </c>
      <c r="C93" s="10">
        <v>2466</v>
      </c>
      <c r="D93" s="11">
        <v>50186587.369999997</v>
      </c>
      <c r="E93" s="12">
        <f t="shared" si="165"/>
        <v>0.52277679259619114</v>
      </c>
      <c r="F93" s="11">
        <v>140126.74</v>
      </c>
      <c r="G93" s="11"/>
      <c r="H93" s="11"/>
      <c r="I93" s="11"/>
      <c r="J93" s="11"/>
      <c r="K93" s="11"/>
      <c r="L93" s="11"/>
      <c r="M93" s="17">
        <f>IF(F93&gt;0.01,F93,#REF!)/D92</f>
        <v>2.7729676947617311E-3</v>
      </c>
      <c r="N93" s="17">
        <f t="shared" si="175"/>
        <v>3.2772777020077082E-2</v>
      </c>
      <c r="O93" s="20">
        <f>AVERAGE(N91:N93)</f>
        <v>4.6390508054639401E-2</v>
      </c>
      <c r="P93" s="20">
        <f t="shared" si="177"/>
        <v>4.4263242908490319E-2</v>
      </c>
      <c r="Q93" s="17">
        <f t="shared" si="178"/>
        <v>4.5023863448787116E-2</v>
      </c>
      <c r="R93" s="11">
        <v>0</v>
      </c>
      <c r="S93" s="18">
        <v>49038882</v>
      </c>
      <c r="T93" s="18">
        <v>519999</v>
      </c>
      <c r="U93" s="18">
        <v>166344</v>
      </c>
      <c r="V93" s="18">
        <v>71186</v>
      </c>
      <c r="W93" s="18">
        <v>53626</v>
      </c>
      <c r="X93" s="18">
        <v>61080</v>
      </c>
      <c r="Y93" s="11">
        <v>34147.589999999997</v>
      </c>
      <c r="Z93" s="11">
        <f t="shared" si="152"/>
        <v>889139.62</v>
      </c>
      <c r="AA93" s="14">
        <f t="shared" si="164"/>
        <v>9.261868221620749E-3</v>
      </c>
      <c r="AB93" s="11">
        <v>34599789.609999999</v>
      </c>
      <c r="AC93" s="14">
        <f t="shared" si="151"/>
        <v>0.40046052789351849</v>
      </c>
      <c r="AD93" s="13">
        <f t="shared" si="139"/>
        <v>28833158.008333333</v>
      </c>
      <c r="AE93" s="19">
        <v>9600000</v>
      </c>
      <c r="AF93" s="12">
        <f t="shared" si="170"/>
        <v>1</v>
      </c>
      <c r="AG93" s="12">
        <f t="shared" si="142"/>
        <v>0.68942303956460471</v>
      </c>
      <c r="AH93" s="11">
        <v>349660.15</v>
      </c>
      <c r="AI93" s="14">
        <f t="shared" si="143"/>
        <v>0.31754416359312615</v>
      </c>
      <c r="AK93" s="14">
        <f t="shared" si="144"/>
        <v>0.9771312330615638</v>
      </c>
      <c r="AL93" s="14">
        <f t="shared" si="145"/>
        <v>1.0361314192700807E-2</v>
      </c>
      <c r="AM93" s="14">
        <f t="shared" si="146"/>
        <v>3.3145110818878941E-3</v>
      </c>
      <c r="AN93" s="14">
        <f t="shared" si="147"/>
        <v>1.418426789516133E-3</v>
      </c>
      <c r="AO93" s="14">
        <f t="shared" si="148"/>
        <v>1.0685325065966924E-3</v>
      </c>
      <c r="AP93" s="14">
        <f t="shared" si="149"/>
        <v>1.2170582460546372E-3</v>
      </c>
      <c r="AQ93" s="14">
        <f t="shared" si="150"/>
        <v>6.8041267178115363E-4</v>
      </c>
    </row>
    <row r="94" spans="1:43" x14ac:dyDescent="0.25">
      <c r="A94" s="10">
        <f t="shared" si="134"/>
        <v>90</v>
      </c>
      <c r="B94" s="15">
        <f t="shared" si="110"/>
        <v>43235</v>
      </c>
      <c r="C94" s="10">
        <v>2449</v>
      </c>
      <c r="D94" s="11">
        <v>49704405.780000001</v>
      </c>
      <c r="E94" s="12">
        <f t="shared" si="165"/>
        <v>0.51775406922967249</v>
      </c>
      <c r="F94" s="11">
        <v>252363.84</v>
      </c>
      <c r="G94" s="11"/>
      <c r="H94" s="11"/>
      <c r="I94" s="11"/>
      <c r="J94" s="11"/>
      <c r="K94" s="11"/>
      <c r="L94" s="11"/>
      <c r="M94" s="17">
        <f>IF(F94&gt;0.01,F94,#REF!)/D93</f>
        <v>5.0285116646695003E-3</v>
      </c>
      <c r="N94" s="17">
        <f t="shared" ref="N94" si="179">1-(+M94-1)^12</f>
        <v>5.8700927794422486E-2</v>
      </c>
      <c r="O94" s="20">
        <f t="shared" ref="O94" si="180">AVERAGE(N92:N94)</f>
        <v>4.508180759962329E-2</v>
      </c>
      <c r="P94" s="20">
        <f t="shared" ref="P94" si="181">AVERAGE(N89:N94)</f>
        <v>4.6913355279173265E-2</v>
      </c>
      <c r="Q94" s="17">
        <f t="shared" ref="Q94" si="182">AVERAGE(N83:N94)</f>
        <v>4.8033600177606522E-2</v>
      </c>
      <c r="R94" s="11">
        <v>0</v>
      </c>
      <c r="S94" s="18">
        <v>48378088</v>
      </c>
      <c r="T94" s="18">
        <v>696129</v>
      </c>
      <c r="U94" s="18">
        <v>168611</v>
      </c>
      <c r="V94" s="18">
        <v>67734</v>
      </c>
      <c r="W94" s="18">
        <v>21441</v>
      </c>
      <c r="X94" s="18">
        <v>41728</v>
      </c>
      <c r="Y94" s="11">
        <v>29725.040000000001</v>
      </c>
      <c r="Z94" s="11">
        <f t="shared" ref="Z94:Z99" si="183">+Z93+Y94</f>
        <v>918864.66</v>
      </c>
      <c r="AA94" s="14">
        <f t="shared" si="164"/>
        <v>9.5715039606764502E-3</v>
      </c>
      <c r="AB94" s="11">
        <v>34094909.719999999</v>
      </c>
      <c r="AC94" s="14">
        <f t="shared" si="151"/>
        <v>0.39461701064814814</v>
      </c>
      <c r="AD94" s="13">
        <f t="shared" si="139"/>
        <v>28412424.766666666</v>
      </c>
      <c r="AE94" s="19">
        <v>9600000</v>
      </c>
      <c r="AF94" s="12">
        <f t="shared" ref="AF94:AF96" si="184">+AE94/$AE$4</f>
        <v>1</v>
      </c>
      <c r="AG94" s="12">
        <f t="shared" si="142"/>
        <v>0.68595347203042245</v>
      </c>
      <c r="AH94" s="11">
        <v>345997.9</v>
      </c>
      <c r="AI94" s="14">
        <f t="shared" si="143"/>
        <v>0.32100763925479125</v>
      </c>
      <c r="AK94" s="14">
        <f t="shared" si="144"/>
        <v>0.97331589103246696</v>
      </c>
      <c r="AL94" s="14">
        <f t="shared" si="145"/>
        <v>1.4005378176759283E-2</v>
      </c>
      <c r="AM94" s="14">
        <f t="shared" si="146"/>
        <v>3.3922747360928211E-3</v>
      </c>
      <c r="AN94" s="14">
        <f t="shared" si="147"/>
        <v>1.362736339708033E-3</v>
      </c>
      <c r="AO94" s="14">
        <f t="shared" si="148"/>
        <v>4.3137021081997127E-4</v>
      </c>
      <c r="AP94" s="14">
        <f t="shared" si="149"/>
        <v>8.3952316389607586E-4</v>
      </c>
      <c r="AQ94" s="14">
        <f t="shared" si="150"/>
        <v>5.9803632160030219E-4</v>
      </c>
    </row>
    <row r="95" spans="1:43" x14ac:dyDescent="0.25">
      <c r="A95" s="10">
        <f t="shared" si="134"/>
        <v>91</v>
      </c>
      <c r="B95" s="15">
        <f t="shared" si="110"/>
        <v>43266</v>
      </c>
      <c r="C95" s="10">
        <v>2431</v>
      </c>
      <c r="D95" s="11">
        <v>49112293.200000003</v>
      </c>
      <c r="E95" s="12">
        <f t="shared" si="165"/>
        <v>0.5115862317326505</v>
      </c>
      <c r="F95" s="11">
        <v>376827.67</v>
      </c>
      <c r="G95" s="11"/>
      <c r="H95" s="11"/>
      <c r="I95" s="11"/>
      <c r="J95" s="11"/>
      <c r="K95" s="11"/>
      <c r="L95" s="11"/>
      <c r="M95" s="17">
        <f>IF(F95&gt;0.01,F95,#REF!)/D94</f>
        <v>7.5813736043420813E-3</v>
      </c>
      <c r="N95" s="17">
        <f t="shared" ref="N95" si="185">1-(+M95-1)^12</f>
        <v>8.7277237109438355E-2</v>
      </c>
      <c r="O95" s="20">
        <f t="shared" ref="O95" si="186">AVERAGE(N93:N95)</f>
        <v>5.9583647307979305E-2</v>
      </c>
      <c r="P95" s="20">
        <f t="shared" ref="P95" si="187">AVERAGE(N90:N95)</f>
        <v>5.2246970886634825E-2</v>
      </c>
      <c r="Q95" s="17">
        <f t="shared" ref="Q95" si="188">AVERAGE(N84:N95)</f>
        <v>5.1306582363055298E-2</v>
      </c>
      <c r="R95" s="11">
        <v>0</v>
      </c>
      <c r="S95" s="18">
        <v>47569033</v>
      </c>
      <c r="T95" s="18">
        <v>995304</v>
      </c>
      <c r="U95" s="18">
        <v>128741</v>
      </c>
      <c r="V95" s="18">
        <v>38772</v>
      </c>
      <c r="W95" s="18">
        <v>30853</v>
      </c>
      <c r="X95" s="18">
        <v>0</v>
      </c>
      <c r="Y95" s="11">
        <v>18915.79</v>
      </c>
      <c r="Z95" s="11">
        <f t="shared" si="183"/>
        <v>937780.45000000007</v>
      </c>
      <c r="AA95" s="14">
        <f t="shared" si="164"/>
        <v>9.7685433798487195E-3</v>
      </c>
      <c r="AB95" s="11">
        <v>33461675.550000001</v>
      </c>
      <c r="AC95" s="14">
        <f t="shared" si="151"/>
        <v>0.38728791145833336</v>
      </c>
      <c r="AD95" s="13">
        <f t="shared" si="139"/>
        <v>27884729.625</v>
      </c>
      <c r="AE95" s="19">
        <v>9600000</v>
      </c>
      <c r="AF95" s="12">
        <f t="shared" si="184"/>
        <v>1</v>
      </c>
      <c r="AG95" s="12">
        <f t="shared" si="142"/>
        <v>0.6813299353327692</v>
      </c>
      <c r="AH95" s="11">
        <v>340949.1</v>
      </c>
      <c r="AI95" s="14">
        <f t="shared" si="143"/>
        <v>0.32561230005851166</v>
      </c>
      <c r="AK95" s="14">
        <f t="shared" si="144"/>
        <v>0.96857690611767233</v>
      </c>
      <c r="AL95" s="14">
        <f t="shared" si="145"/>
        <v>2.0265883247333274E-2</v>
      </c>
      <c r="AM95" s="14">
        <f t="shared" si="146"/>
        <v>2.6213599816186143E-3</v>
      </c>
      <c r="AN95" s="14">
        <f t="shared" si="147"/>
        <v>7.8945611116363018E-4</v>
      </c>
      <c r="AO95" s="14">
        <f t="shared" si="148"/>
        <v>6.2821338589011356E-4</v>
      </c>
      <c r="AP95" s="14">
        <f t="shared" si="149"/>
        <v>0</v>
      </c>
      <c r="AQ95" s="14">
        <f t="shared" si="150"/>
        <v>3.8515387426462099E-4</v>
      </c>
    </row>
    <row r="96" spans="1:43" x14ac:dyDescent="0.25">
      <c r="A96" s="10">
        <f t="shared" si="134"/>
        <v>92</v>
      </c>
      <c r="B96" s="15">
        <f t="shared" si="110"/>
        <v>43296</v>
      </c>
      <c r="C96" s="10">
        <v>2413</v>
      </c>
      <c r="D96" s="11">
        <v>48567246.25</v>
      </c>
      <c r="E96" s="12">
        <f t="shared" si="165"/>
        <v>0.50590866106551913</v>
      </c>
      <c r="F96" s="11">
        <v>300337.59000000003</v>
      </c>
      <c r="G96" s="11"/>
      <c r="H96" s="11"/>
      <c r="I96" s="11"/>
      <c r="J96" s="11"/>
      <c r="K96" s="11"/>
      <c r="L96" s="11"/>
      <c r="M96" s="17">
        <f>IF(F96&gt;0.01,F96,#REF!)/D95</f>
        <v>6.1153240956787576E-3</v>
      </c>
      <c r="N96" s="17">
        <f t="shared" ref="N96" si="189">1-(+M96-1)^12</f>
        <v>7.0965302235663774E-2</v>
      </c>
      <c r="O96" s="20">
        <f t="shared" ref="O96" si="190">AVERAGE(N94:N96)</f>
        <v>7.231448904650821E-2</v>
      </c>
      <c r="P96" s="20">
        <f t="shared" ref="P96" si="191">AVERAGE(N91:N96)</f>
        <v>5.9352498550573805E-2</v>
      </c>
      <c r="Q96" s="17">
        <f t="shared" ref="Q96" si="192">AVERAGE(N85:N96)</f>
        <v>5.3643353730196748E-2</v>
      </c>
      <c r="R96" s="11">
        <v>708366.74</v>
      </c>
      <c r="S96" s="18">
        <v>46847348</v>
      </c>
      <c r="T96" s="18">
        <v>1205596</v>
      </c>
      <c r="U96" s="18">
        <v>196562</v>
      </c>
      <c r="V96" s="18">
        <v>54993</v>
      </c>
      <c r="W96" s="18">
        <v>28874</v>
      </c>
      <c r="X96" s="18">
        <v>0</v>
      </c>
      <c r="Y96" s="11">
        <v>0</v>
      </c>
      <c r="Z96" s="11">
        <f t="shared" si="183"/>
        <v>937780.45000000007</v>
      </c>
      <c r="AA96" s="14">
        <f t="shared" si="164"/>
        <v>9.7685433798487195E-3</v>
      </c>
      <c r="AB96" s="11">
        <v>32173222.140000001</v>
      </c>
      <c r="AC96" s="14">
        <f t="shared" si="151"/>
        <v>0.37237525625000001</v>
      </c>
      <c r="AD96" s="13">
        <f t="shared" si="139"/>
        <v>26811018.450000003</v>
      </c>
      <c r="AE96" s="19">
        <v>9600000</v>
      </c>
      <c r="AF96" s="12">
        <f t="shared" si="184"/>
        <v>1</v>
      </c>
      <c r="AG96" s="12">
        <f t="shared" si="142"/>
        <v>0.66244690865090994</v>
      </c>
      <c r="AH96" s="11">
        <v>334616.76</v>
      </c>
      <c r="AI96" s="14">
        <f t="shared" si="143"/>
        <v>0.34444285319141388</v>
      </c>
      <c r="AK96" s="14">
        <f t="shared" si="144"/>
        <v>0.96458728087759349</v>
      </c>
      <c r="AL96" s="14">
        <f t="shared" si="145"/>
        <v>2.4823231562155944E-2</v>
      </c>
      <c r="AM96" s="14">
        <f t="shared" si="146"/>
        <v>4.0472131977217054E-3</v>
      </c>
      <c r="AN96" s="14">
        <f t="shared" si="147"/>
        <v>1.132306322596991E-3</v>
      </c>
      <c r="AO96" s="14">
        <f t="shared" si="148"/>
        <v>5.945158976354357E-4</v>
      </c>
      <c r="AP96" s="14">
        <f t="shared" si="149"/>
        <v>0</v>
      </c>
      <c r="AQ96" s="14">
        <f t="shared" si="150"/>
        <v>0</v>
      </c>
    </row>
    <row r="97" spans="1:43" x14ac:dyDescent="0.25">
      <c r="A97" s="10">
        <f t="shared" si="134"/>
        <v>93</v>
      </c>
      <c r="B97" s="15">
        <f t="shared" si="110"/>
        <v>43327</v>
      </c>
      <c r="C97" s="10">
        <v>2398</v>
      </c>
      <c r="D97" s="11">
        <v>48107937.560000002</v>
      </c>
      <c r="E97" s="12">
        <f t="shared" si="165"/>
        <v>0.50112419700145538</v>
      </c>
      <c r="F97" s="11">
        <v>250181.07</v>
      </c>
      <c r="G97" s="11"/>
      <c r="H97" s="11"/>
      <c r="I97" s="11"/>
      <c r="J97" s="11"/>
      <c r="K97" s="11"/>
      <c r="L97" s="11"/>
      <c r="M97" s="17">
        <f>IF(F97&gt;0.01,F97,#REF!)/D96</f>
        <v>5.1512302903111377E-3</v>
      </c>
      <c r="N97" s="17">
        <f t="shared" ref="N97:N99" si="193">1-(+M97-1)^12</f>
        <v>6.0093167884479493E-2</v>
      </c>
      <c r="O97" s="20">
        <f t="shared" ref="O97:O98" si="194">AVERAGE(N95:N97)</f>
        <v>7.2778569076527203E-2</v>
      </c>
      <c r="P97" s="20">
        <f t="shared" ref="P97:P99" si="195">AVERAGE(N92:N97)</f>
        <v>5.893018833807525E-2</v>
      </c>
      <c r="Q97" s="17">
        <f t="shared" ref="Q97:Q99" si="196">AVERAGE(N86:N97)</f>
        <v>5.4469957566104558E-2</v>
      </c>
      <c r="R97" s="11">
        <v>0</v>
      </c>
      <c r="S97" s="18">
        <v>46691269</v>
      </c>
      <c r="T97" s="18">
        <v>1061576</v>
      </c>
      <c r="U97" s="18">
        <v>73324</v>
      </c>
      <c r="V97" s="18">
        <v>14771</v>
      </c>
      <c r="W97" s="18">
        <v>31125</v>
      </c>
      <c r="X97" s="18">
        <v>0</v>
      </c>
      <c r="Y97" s="11">
        <v>0</v>
      </c>
      <c r="Z97" s="11">
        <f t="shared" si="183"/>
        <v>937780.45000000007</v>
      </c>
      <c r="AA97" s="14">
        <f t="shared" si="164"/>
        <v>9.7685433798487195E-3</v>
      </c>
      <c r="AB97" s="11">
        <v>31661628.16</v>
      </c>
      <c r="AC97" s="14">
        <f t="shared" si="151"/>
        <v>0.36645402962962964</v>
      </c>
      <c r="AD97" s="13">
        <f t="shared" si="139"/>
        <v>26384690.133333333</v>
      </c>
      <c r="AE97" s="19">
        <v>9600000</v>
      </c>
      <c r="AF97" s="12">
        <f t="shared" ref="AF97:AF99" si="197">+AE97/$AE$4</f>
        <v>1</v>
      </c>
      <c r="AG97" s="12">
        <f t="shared" si="142"/>
        <v>0.65813730053407005</v>
      </c>
      <c r="AH97" s="11">
        <v>321732.21999999997</v>
      </c>
      <c r="AI97" s="14">
        <f t="shared" si="143"/>
        <v>0.34855041538804227</v>
      </c>
      <c r="AK97" s="14">
        <f t="shared" si="144"/>
        <v>0.97055229070601623</v>
      </c>
      <c r="AL97" s="14">
        <f t="shared" si="145"/>
        <v>2.2066545643866092E-2</v>
      </c>
      <c r="AM97" s="14">
        <f t="shared" si="146"/>
        <v>1.5241559650847772E-3</v>
      </c>
      <c r="AN97" s="14">
        <f t="shared" si="147"/>
        <v>3.0703872893278109E-4</v>
      </c>
      <c r="AO97" s="14">
        <f t="shared" si="148"/>
        <v>6.4698263069750273E-4</v>
      </c>
      <c r="AP97" s="14">
        <f t="shared" si="149"/>
        <v>0</v>
      </c>
      <c r="AQ97" s="14">
        <f t="shared" si="150"/>
        <v>0</v>
      </c>
    </row>
    <row r="98" spans="1:43" x14ac:dyDescent="0.25">
      <c r="A98" s="10">
        <f t="shared" si="134"/>
        <v>94</v>
      </c>
      <c r="B98" s="15">
        <f t="shared" si="110"/>
        <v>43358</v>
      </c>
      <c r="C98" s="10">
        <v>2379</v>
      </c>
      <c r="D98" s="11">
        <v>47511776.829999998</v>
      </c>
      <c r="E98" s="12">
        <f t="shared" si="165"/>
        <v>0.4949141912881061</v>
      </c>
      <c r="F98" s="11">
        <v>412135.85</v>
      </c>
      <c r="G98" s="11"/>
      <c r="H98" s="11"/>
      <c r="I98" s="11"/>
      <c r="J98" s="11"/>
      <c r="K98" s="11"/>
      <c r="L98" s="11"/>
      <c r="M98" s="17">
        <f>IF(F98&gt;0.01,F98,#REF!)/D97</f>
        <v>8.5668991626586775E-3</v>
      </c>
      <c r="N98" s="17">
        <f t="shared" si="193"/>
        <v>9.8094626408663066E-2</v>
      </c>
      <c r="O98" s="20">
        <f t="shared" si="194"/>
        <v>7.6384365509602106E-2</v>
      </c>
      <c r="P98" s="20">
        <f t="shared" si="195"/>
        <v>6.7984006408790709E-2</v>
      </c>
      <c r="Q98" s="17">
        <f t="shared" si="196"/>
        <v>5.8723443375473798E-2</v>
      </c>
      <c r="R98" s="11">
        <v>0</v>
      </c>
      <c r="S98" s="18">
        <v>45952573</v>
      </c>
      <c r="T98" s="18">
        <v>1108789</v>
      </c>
      <c r="U98" s="18">
        <v>215235</v>
      </c>
      <c r="V98" s="18">
        <v>14332</v>
      </c>
      <c r="W98" s="18">
        <v>0</v>
      </c>
      <c r="X98" s="18">
        <v>0</v>
      </c>
      <c r="Y98" s="11">
        <v>0</v>
      </c>
      <c r="Z98" s="11">
        <f t="shared" si="183"/>
        <v>937780.45000000007</v>
      </c>
      <c r="AA98" s="14">
        <f t="shared" si="164"/>
        <v>9.7685433798487195E-3</v>
      </c>
      <c r="AB98" s="11">
        <v>31002319.960000001</v>
      </c>
      <c r="AC98" s="14">
        <f t="shared" si="151"/>
        <v>0.3588231476851852</v>
      </c>
      <c r="AD98" s="13">
        <f t="shared" si="139"/>
        <v>25835266.633333337</v>
      </c>
      <c r="AE98" s="19">
        <v>9600000</v>
      </c>
      <c r="AF98" s="12">
        <f t="shared" si="197"/>
        <v>1</v>
      </c>
      <c r="AG98" s="12">
        <f t="shared" si="142"/>
        <v>0.65251863913505426</v>
      </c>
      <c r="AH98" s="11">
        <v>316616.28000000003</v>
      </c>
      <c r="AI98" s="14">
        <f t="shared" si="143"/>
        <v>0.35414531454390147</v>
      </c>
      <c r="AK98" s="14">
        <f t="shared" si="144"/>
        <v>0.96718279268782303</v>
      </c>
      <c r="AL98" s="14">
        <f t="shared" si="145"/>
        <v>2.3337140262451431E-2</v>
      </c>
      <c r="AM98" s="14">
        <f t="shared" si="146"/>
        <v>4.5301399855055685E-3</v>
      </c>
      <c r="AN98" s="14">
        <f t="shared" si="147"/>
        <v>3.0165152634221114E-4</v>
      </c>
      <c r="AO98" s="14">
        <f t="shared" si="148"/>
        <v>0</v>
      </c>
      <c r="AP98" s="14">
        <f t="shared" si="149"/>
        <v>0</v>
      </c>
      <c r="AQ98" s="14">
        <f t="shared" si="150"/>
        <v>0</v>
      </c>
    </row>
    <row r="99" spans="1:43" x14ac:dyDescent="0.25">
      <c r="A99" s="10">
        <f t="shared" si="134"/>
        <v>95</v>
      </c>
      <c r="B99" s="15">
        <f t="shared" si="110"/>
        <v>43388</v>
      </c>
      <c r="C99" s="10">
        <v>2373</v>
      </c>
      <c r="D99" s="11">
        <v>47253175.649999999</v>
      </c>
      <c r="E99" s="12">
        <f t="shared" si="165"/>
        <v>0.49222042981663366</v>
      </c>
      <c r="F99" s="11">
        <v>110026.57</v>
      </c>
      <c r="G99" s="11"/>
      <c r="H99" s="11"/>
      <c r="I99" s="11"/>
      <c r="J99" s="11"/>
      <c r="K99" s="11"/>
      <c r="L99" s="11"/>
      <c r="M99" s="17">
        <f>IF(F99&gt;0.01,F99,#REF!)/D98</f>
        <v>2.3157746845309892E-3</v>
      </c>
      <c r="N99" s="17">
        <f t="shared" si="193"/>
        <v>2.7438068607528288E-2</v>
      </c>
      <c r="O99" s="20">
        <f>AVERAGE(N97:N99)</f>
        <v>6.1875287633556951E-2</v>
      </c>
      <c r="P99" s="20">
        <f t="shared" si="195"/>
        <v>6.7094888340032577E-2</v>
      </c>
      <c r="Q99" s="17">
        <f t="shared" si="196"/>
        <v>5.5679065624261448E-2</v>
      </c>
      <c r="R99" s="11">
        <v>162655.1</v>
      </c>
      <c r="S99" s="18">
        <v>45816536</v>
      </c>
      <c r="T99" s="18">
        <v>889421</v>
      </c>
      <c r="U99" s="18">
        <v>271816</v>
      </c>
      <c r="V99" s="18">
        <v>86166</v>
      </c>
      <c r="W99" s="18">
        <v>14332</v>
      </c>
      <c r="X99" s="18">
        <v>0</v>
      </c>
      <c r="Y99" s="11">
        <v>0</v>
      </c>
      <c r="Z99" s="11">
        <f t="shared" si="183"/>
        <v>937780.45000000007</v>
      </c>
      <c r="AA99" s="14">
        <f t="shared" si="164"/>
        <v>9.7685433798487195E-3</v>
      </c>
      <c r="AB99" s="11">
        <v>30538526.239999998</v>
      </c>
      <c r="AC99" s="14">
        <f t="shared" si="151"/>
        <v>0.35345516481481482</v>
      </c>
      <c r="AD99" s="13">
        <f t="shared" si="139"/>
        <v>25448771.866666667</v>
      </c>
      <c r="AE99" s="19">
        <v>9600000</v>
      </c>
      <c r="AF99" s="12">
        <f t="shared" si="197"/>
        <v>1</v>
      </c>
      <c r="AG99" s="12">
        <f t="shared" si="142"/>
        <v>0.64627457985461345</v>
      </c>
      <c r="AH99" s="11">
        <v>310023.2</v>
      </c>
      <c r="AI99" s="14">
        <f t="shared" si="143"/>
        <v>0.36028631675678718</v>
      </c>
      <c r="AK99" s="14">
        <f t="shared" si="144"/>
        <v>0.96959697141540158</v>
      </c>
      <c r="AL99" s="14">
        <f t="shared" si="145"/>
        <v>1.8822459819163497E-2</v>
      </c>
      <c r="AM99" s="14">
        <f t="shared" si="146"/>
        <v>5.7523329651601946E-3</v>
      </c>
      <c r="AN99" s="14">
        <f t="shared" si="147"/>
        <v>1.8234964912881998E-3</v>
      </c>
      <c r="AO99" s="14">
        <f t="shared" si="148"/>
        <v>3.0330236651512752E-4</v>
      </c>
      <c r="AP99" s="14">
        <f t="shared" si="149"/>
        <v>0</v>
      </c>
      <c r="AQ99" s="14">
        <f t="shared" si="150"/>
        <v>0</v>
      </c>
    </row>
    <row r="100" spans="1:43" x14ac:dyDescent="0.25">
      <c r="A100" s="10">
        <f t="shared" si="134"/>
        <v>96</v>
      </c>
      <c r="B100" s="15">
        <f t="shared" si="110"/>
        <v>43419</v>
      </c>
      <c r="C100" s="10">
        <v>2354</v>
      </c>
      <c r="D100" s="11">
        <v>46748166.020000003</v>
      </c>
      <c r="E100" s="12">
        <f t="shared" ref="E100:E105" si="198">+D100/D$4</f>
        <v>0.4869599144391844</v>
      </c>
      <c r="F100" s="11">
        <v>276703.03000000003</v>
      </c>
      <c r="G100" s="11"/>
      <c r="H100" s="11"/>
      <c r="I100" s="11"/>
      <c r="J100" s="11"/>
      <c r="K100" s="11"/>
      <c r="L100" s="11"/>
      <c r="M100" s="17">
        <f>IF(F100&gt;0.01,F100,#REF!)/D99</f>
        <v>5.8557552205488654E-3</v>
      </c>
      <c r="N100" s="17">
        <f t="shared" ref="N100" si="199">1-(+M100-1)^12</f>
        <v>6.8049529154316946E-2</v>
      </c>
      <c r="O100" s="20">
        <f t="shared" ref="O100" si="200">AVERAGE(N98:N100)</f>
        <v>6.45274080568361E-2</v>
      </c>
      <c r="P100" s="20">
        <f t="shared" ref="P100" si="201">AVERAGE(N95:N100)</f>
        <v>6.8652988566681658E-2</v>
      </c>
      <c r="Q100" s="17">
        <f t="shared" ref="Q100" si="202">AVERAGE(N89:N100)</f>
        <v>5.7783171922927458E-2</v>
      </c>
      <c r="R100" s="11">
        <v>0</v>
      </c>
      <c r="S100" s="18">
        <v>45282073</v>
      </c>
      <c r="T100" s="18">
        <v>955150</v>
      </c>
      <c r="U100" s="18">
        <v>252781</v>
      </c>
      <c r="V100" s="18">
        <v>51536</v>
      </c>
      <c r="W100" s="18">
        <v>32652</v>
      </c>
      <c r="X100" s="18">
        <v>14332</v>
      </c>
      <c r="Y100" s="11">
        <v>0</v>
      </c>
      <c r="Z100" s="11">
        <f t="shared" ref="Z100" si="203">+Z99+Y100</f>
        <v>937780.45000000007</v>
      </c>
      <c r="AA100" s="14">
        <f t="shared" si="164"/>
        <v>9.7685433798487195E-3</v>
      </c>
      <c r="AB100" s="11">
        <v>29972751.5</v>
      </c>
      <c r="AC100" s="14">
        <f t="shared" si="151"/>
        <v>0.34690684606481481</v>
      </c>
      <c r="AD100" s="13">
        <f t="shared" ref="AD100:AD105" si="204">+AB100*$AD$2</f>
        <v>24977292.916666668</v>
      </c>
      <c r="AE100" s="19">
        <v>9600000</v>
      </c>
      <c r="AF100" s="12">
        <f t="shared" ref="AF100:AF105" si="205">+AE100/$AE$4</f>
        <v>1</v>
      </c>
      <c r="AG100" s="12">
        <f t="shared" ref="AG100:AG129" si="206">+AB100/D100</f>
        <v>0.6411535264758178</v>
      </c>
      <c r="AH100" s="11">
        <v>305385.26</v>
      </c>
      <c r="AI100" s="14">
        <f t="shared" ref="AI100:AI129" si="207">((+D100+AH100)-AB100)/D100</f>
        <v>0.36537903482015571</v>
      </c>
      <c r="AK100" s="14">
        <f t="shared" si="144"/>
        <v>0.96863849120042966</v>
      </c>
      <c r="AL100" s="14">
        <f t="shared" si="145"/>
        <v>2.0431817573150646E-2</v>
      </c>
      <c r="AM100" s="14">
        <f t="shared" si="146"/>
        <v>5.4072923393797771E-3</v>
      </c>
      <c r="AN100" s="14">
        <f t="shared" si="147"/>
        <v>1.1024175788618455E-3</v>
      </c>
      <c r="AO100" s="14">
        <f t="shared" si="148"/>
        <v>6.9846590315501746E-4</v>
      </c>
      <c r="AP100" s="14">
        <f t="shared" si="149"/>
        <v>3.0657887186137786E-4</v>
      </c>
      <c r="AQ100" s="14">
        <f t="shared" si="150"/>
        <v>0</v>
      </c>
    </row>
    <row r="101" spans="1:43" x14ac:dyDescent="0.25">
      <c r="A101" s="10">
        <f t="shared" si="134"/>
        <v>97</v>
      </c>
      <c r="B101" s="15">
        <f t="shared" si="110"/>
        <v>43449</v>
      </c>
      <c r="C101" s="10">
        <v>2338</v>
      </c>
      <c r="D101" s="11">
        <v>46248416.859999999</v>
      </c>
      <c r="E101" s="12">
        <f t="shared" si="198"/>
        <v>0.48175419560755062</v>
      </c>
      <c r="F101" s="11">
        <v>332710.55</v>
      </c>
      <c r="G101" s="11"/>
      <c r="H101" s="11"/>
      <c r="I101" s="11"/>
      <c r="J101" s="11"/>
      <c r="K101" s="11"/>
      <c r="L101" s="11"/>
      <c r="M101" s="17">
        <f>IF(F101&gt;0.01,F101,#REF!)/D100</f>
        <v>7.117082408273692E-3</v>
      </c>
      <c r="N101" s="17">
        <f t="shared" ref="N101:N104" si="208">1-(+M101-1)^12</f>
        <v>8.2139954452582264E-2</v>
      </c>
      <c r="O101" s="20">
        <f t="shared" ref="O101:O103" si="209">AVERAGE(N99:N101)</f>
        <v>5.920918407147583E-2</v>
      </c>
      <c r="P101" s="20">
        <f t="shared" ref="P101:P103" si="210">AVERAGE(N96:N101)</f>
        <v>6.7796774790538972E-2</v>
      </c>
      <c r="Q101" s="17">
        <f t="shared" ref="Q101:Q103" si="211">AVERAGE(N90:N101)</f>
        <v>6.0021872838586898E-2</v>
      </c>
      <c r="R101" s="11">
        <v>0</v>
      </c>
      <c r="S101" s="18">
        <v>44550827</v>
      </c>
      <c r="T101" s="18">
        <v>1070785</v>
      </c>
      <c r="U101" s="18">
        <v>361135</v>
      </c>
      <c r="V101" s="18">
        <v>43625</v>
      </c>
      <c r="W101" s="18">
        <v>31749</v>
      </c>
      <c r="X101" s="18">
        <v>16321</v>
      </c>
      <c r="Y101" s="11">
        <v>14332.4</v>
      </c>
      <c r="Z101" s="11">
        <f t="shared" ref="Z101:Z105" si="212">+Z100+Y101</f>
        <v>952112.85000000009</v>
      </c>
      <c r="AA101" s="14">
        <f t="shared" si="164"/>
        <v>9.9178391677245958E-3</v>
      </c>
      <c r="AB101" s="11">
        <v>29416224.530000001</v>
      </c>
      <c r="AC101" s="14">
        <f t="shared" ref="AC101:AC105" si="213">+AB101/AB$4</f>
        <v>0.34046556168981484</v>
      </c>
      <c r="AD101" s="13">
        <f t="shared" si="204"/>
        <v>24513520.44166667</v>
      </c>
      <c r="AE101" s="19">
        <v>9600000</v>
      </c>
      <c r="AF101" s="12">
        <f t="shared" si="205"/>
        <v>1</v>
      </c>
      <c r="AG101" s="12">
        <f t="shared" si="206"/>
        <v>0.63604824829024431</v>
      </c>
      <c r="AH101" s="11">
        <v>299727.52</v>
      </c>
      <c r="AI101" s="14">
        <f t="shared" si="207"/>
        <v>0.37043256857549439</v>
      </c>
      <c r="AK101" s="14">
        <f t="shared" ref="AK101:AK105" si="214">+S101/$D101</f>
        <v>0.96329409793336651</v>
      </c>
      <c r="AL101" s="14">
        <f t="shared" ref="AL101:AL105" si="215">+T101/$D101</f>
        <v>2.3152900633148288E-2</v>
      </c>
      <c r="AM101" s="14">
        <f t="shared" ref="AM101:AM105" si="216">+U101/$D101</f>
        <v>7.8085916128373175E-3</v>
      </c>
      <c r="AN101" s="14">
        <f t="shared" ref="AN101:AN105" si="217">+V101/$D101</f>
        <v>9.4327553161567827E-4</v>
      </c>
      <c r="AO101" s="14">
        <f t="shared" ref="AO101:AO105" si="218">+W101/$D101</f>
        <v>6.8648836339865152E-4</v>
      </c>
      <c r="AP101" s="14">
        <f t="shared" ref="AP101:AP105" si="219">+X101/$D101</f>
        <v>3.5289856622348393E-4</v>
      </c>
      <c r="AQ101" s="14">
        <f t="shared" ref="AQ101:AQ105" si="220">+Y101/$D101</f>
        <v>3.0990033763503836E-4</v>
      </c>
    </row>
    <row r="102" spans="1:43" x14ac:dyDescent="0.25">
      <c r="A102" s="10">
        <f t="shared" si="134"/>
        <v>98</v>
      </c>
      <c r="B102" s="15">
        <f t="shared" si="110"/>
        <v>43480</v>
      </c>
      <c r="C102" s="10">
        <v>2323</v>
      </c>
      <c r="D102" s="11">
        <v>45751908.880000003</v>
      </c>
      <c r="E102" s="12">
        <f t="shared" si="198"/>
        <v>0.47658223905730368</v>
      </c>
      <c r="F102" s="11">
        <v>301457.23</v>
      </c>
      <c r="G102" s="11"/>
      <c r="H102" s="11"/>
      <c r="I102" s="11"/>
      <c r="J102" s="11"/>
      <c r="K102" s="11"/>
      <c r="L102" s="11"/>
      <c r="M102" s="17">
        <f>IF(F102&gt;0.01,F102,#REF!)/D101</f>
        <v>6.5182172810920296E-3</v>
      </c>
      <c r="N102" s="17">
        <f t="shared" si="208"/>
        <v>7.5474497651569883E-2</v>
      </c>
      <c r="O102" s="20">
        <f t="shared" si="209"/>
        <v>7.5221327086156364E-2</v>
      </c>
      <c r="P102" s="20">
        <f t="shared" si="210"/>
        <v>6.8548307359856661E-2</v>
      </c>
      <c r="Q102" s="17">
        <f t="shared" si="211"/>
        <v>6.395040295521523E-2</v>
      </c>
      <c r="R102" s="11"/>
      <c r="S102" s="18">
        <v>43928873</v>
      </c>
      <c r="T102" s="18">
        <v>1299023</v>
      </c>
      <c r="U102" s="18">
        <v>263167</v>
      </c>
      <c r="V102" s="18">
        <v>51735</v>
      </c>
      <c r="W102" s="18">
        <v>0</v>
      </c>
      <c r="X102" s="18">
        <v>18815</v>
      </c>
      <c r="Y102" s="11">
        <v>0</v>
      </c>
      <c r="Z102" s="11">
        <f t="shared" si="212"/>
        <v>952112.85000000009</v>
      </c>
      <c r="AA102" s="14">
        <f t="shared" si="164"/>
        <v>9.9178391677245958E-3</v>
      </c>
      <c r="AB102" s="11">
        <v>28873199.93</v>
      </c>
      <c r="AC102" s="14">
        <f t="shared" si="213"/>
        <v>0.33418055474537034</v>
      </c>
      <c r="AD102" s="13">
        <f t="shared" si="204"/>
        <v>24060999.941666666</v>
      </c>
      <c r="AE102" s="19">
        <v>9600000</v>
      </c>
      <c r="AF102" s="12">
        <f t="shared" si="205"/>
        <v>1</v>
      </c>
      <c r="AG102" s="12">
        <f t="shared" si="206"/>
        <v>0.63108186383501119</v>
      </c>
      <c r="AH102" s="11">
        <v>294162.25</v>
      </c>
      <c r="AI102" s="14">
        <f t="shared" si="207"/>
        <v>0.37534764385551034</v>
      </c>
      <c r="AK102" s="14">
        <f t="shared" si="214"/>
        <v>0.96015388374763688</v>
      </c>
      <c r="AL102" s="14">
        <f t="shared" si="215"/>
        <v>2.8392760691299923E-2</v>
      </c>
      <c r="AM102" s="14">
        <f t="shared" si="216"/>
        <v>5.7520441538350953E-3</v>
      </c>
      <c r="AN102" s="14">
        <f t="shared" si="217"/>
        <v>1.1307724916066932E-3</v>
      </c>
      <c r="AO102" s="14">
        <f t="shared" si="218"/>
        <v>0</v>
      </c>
      <c r="AP102" s="14">
        <f t="shared" si="219"/>
        <v>4.112396719740975E-4</v>
      </c>
      <c r="AQ102" s="14">
        <f t="shared" si="220"/>
        <v>0</v>
      </c>
    </row>
    <row r="103" spans="1:43" x14ac:dyDescent="0.25">
      <c r="A103" s="10">
        <f t="shared" si="134"/>
        <v>99</v>
      </c>
      <c r="B103" s="15">
        <f t="shared" si="110"/>
        <v>43511</v>
      </c>
      <c r="C103" s="10">
        <v>2312</v>
      </c>
      <c r="D103" s="11">
        <v>45409550.350000001</v>
      </c>
      <c r="E103" s="12">
        <f t="shared" si="198"/>
        <v>0.47301600545564748</v>
      </c>
      <c r="F103" s="11">
        <v>205125.57</v>
      </c>
      <c r="G103" s="11"/>
      <c r="H103" s="11"/>
      <c r="I103" s="11"/>
      <c r="J103" s="11"/>
      <c r="K103" s="11"/>
      <c r="L103" s="11"/>
      <c r="M103" s="17">
        <f>IF(F103&gt;0.01,F103,#REF!)/D102</f>
        <v>4.4834319489928135E-3</v>
      </c>
      <c r="N103" s="17">
        <f t="shared" si="208"/>
        <v>5.2494134994661379E-2</v>
      </c>
      <c r="O103" s="20">
        <f t="shared" si="209"/>
        <v>7.0036195699604509E-2</v>
      </c>
      <c r="P103" s="20">
        <f t="shared" si="210"/>
        <v>6.7281801878220304E-2</v>
      </c>
      <c r="Q103" s="17">
        <f t="shared" si="211"/>
        <v>6.310599510814778E-2</v>
      </c>
      <c r="R103" s="11">
        <v>0</v>
      </c>
      <c r="S103" s="18">
        <v>43523768</v>
      </c>
      <c r="T103" s="18">
        <v>1188587</v>
      </c>
      <c r="U103" s="18">
        <v>409727</v>
      </c>
      <c r="V103" s="18">
        <v>78358</v>
      </c>
      <c r="W103" s="18">
        <v>0</v>
      </c>
      <c r="X103" s="18">
        <v>0</v>
      </c>
      <c r="Y103" s="11">
        <v>0</v>
      </c>
      <c r="Z103" s="11">
        <f t="shared" si="212"/>
        <v>952112.85000000009</v>
      </c>
      <c r="AA103" s="14">
        <f t="shared" si="164"/>
        <v>9.9178391677245958E-3</v>
      </c>
      <c r="AB103" s="11">
        <v>28456933.609999999</v>
      </c>
      <c r="AC103" s="14">
        <f t="shared" si="213"/>
        <v>0.32936265752314814</v>
      </c>
      <c r="AD103" s="13">
        <f t="shared" si="204"/>
        <v>23714111.341666669</v>
      </c>
      <c r="AE103" s="19">
        <v>9600000</v>
      </c>
      <c r="AF103" s="12">
        <f t="shared" si="205"/>
        <v>1</v>
      </c>
      <c r="AG103" s="12">
        <f t="shared" si="206"/>
        <v>0.62667287807662686</v>
      </c>
      <c r="AH103" s="11">
        <v>288732</v>
      </c>
      <c r="AI103" s="14">
        <f t="shared" si="207"/>
        <v>0.37968552005272171</v>
      </c>
      <c r="AK103" s="14">
        <f t="shared" si="214"/>
        <v>0.95847167973553826</v>
      </c>
      <c r="AL103" s="14">
        <f t="shared" si="215"/>
        <v>2.6174824256985842E-2</v>
      </c>
      <c r="AM103" s="14">
        <f t="shared" si="216"/>
        <v>9.022925724698351E-3</v>
      </c>
      <c r="AN103" s="14">
        <f t="shared" si="217"/>
        <v>1.7255841424556188E-3</v>
      </c>
      <c r="AO103" s="14">
        <f t="shared" si="218"/>
        <v>0</v>
      </c>
      <c r="AP103" s="14">
        <f t="shared" si="219"/>
        <v>0</v>
      </c>
      <c r="AQ103" s="14">
        <f t="shared" si="220"/>
        <v>0</v>
      </c>
    </row>
    <row r="104" spans="1:43" x14ac:dyDescent="0.25">
      <c r="A104" s="10">
        <f t="shared" si="134"/>
        <v>100</v>
      </c>
      <c r="B104" s="15">
        <f t="shared" si="110"/>
        <v>43539</v>
      </c>
      <c r="C104" s="10">
        <v>2303</v>
      </c>
      <c r="D104" s="11">
        <v>45090178.990000002</v>
      </c>
      <c r="E104" s="12">
        <f t="shared" si="198"/>
        <v>0.46968922146858394</v>
      </c>
      <c r="F104" s="11">
        <v>158867.09</v>
      </c>
      <c r="M104" s="17">
        <f>IF(F104&gt;0.01,F104,#REF!)/D103</f>
        <v>3.4985391569727358E-3</v>
      </c>
      <c r="N104" s="17">
        <f t="shared" si="208"/>
        <v>4.1183991602732672E-2</v>
      </c>
      <c r="O104" s="20">
        <f t="shared" ref="O104" si="221">AVERAGE(N102:N104)</f>
        <v>5.6384208082987976E-2</v>
      </c>
      <c r="P104" s="20">
        <f t="shared" ref="P104" si="222">AVERAGE(N99:N104)</f>
        <v>5.7796696077231903E-2</v>
      </c>
      <c r="Q104" s="17">
        <f t="shared" ref="Q104" si="223">AVERAGE(N93:N104)</f>
        <v>6.2890351243011303E-2</v>
      </c>
      <c r="R104" s="11">
        <v>0</v>
      </c>
      <c r="S104" s="18">
        <v>42998717</v>
      </c>
      <c r="T104" s="18">
        <v>1267975</v>
      </c>
      <c r="U104" s="18">
        <v>407491</v>
      </c>
      <c r="V104" s="18">
        <v>210492</v>
      </c>
      <c r="W104" s="18">
        <v>11762</v>
      </c>
      <c r="X104" s="18">
        <v>0</v>
      </c>
      <c r="Y104" s="11">
        <v>0</v>
      </c>
      <c r="Z104" s="11">
        <f t="shared" si="212"/>
        <v>952112.85000000009</v>
      </c>
      <c r="AA104" s="14">
        <f t="shared" si="164"/>
        <v>9.9178391677245958E-3</v>
      </c>
      <c r="AB104" s="11">
        <v>28073841.109999999</v>
      </c>
      <c r="AC104" s="14">
        <f t="shared" si="213"/>
        <v>0.32492871655092592</v>
      </c>
      <c r="AD104" s="13">
        <f t="shared" si="204"/>
        <v>23394867.591666669</v>
      </c>
      <c r="AE104" s="19">
        <v>9600000</v>
      </c>
      <c r="AF104" s="12">
        <f t="shared" si="205"/>
        <v>1</v>
      </c>
      <c r="AG104" s="12">
        <f t="shared" si="206"/>
        <v>0.62261542843345452</v>
      </c>
      <c r="AH104" s="11">
        <v>284569.34000000003</v>
      </c>
      <c r="AI104" s="14">
        <f t="shared" si="207"/>
        <v>0.38369568734328957</v>
      </c>
      <c r="AK104" s="14">
        <f t="shared" si="214"/>
        <v>0.95361601934505869</v>
      </c>
      <c r="AL104" s="14">
        <f t="shared" si="215"/>
        <v>2.8120868632639684E-2</v>
      </c>
      <c r="AM104" s="14">
        <f t="shared" si="216"/>
        <v>9.0372451191726797E-3</v>
      </c>
      <c r="AN104" s="14">
        <f t="shared" si="217"/>
        <v>4.6682449419125716E-3</v>
      </c>
      <c r="AO104" s="14">
        <f t="shared" si="218"/>
        <v>2.6085503015209918E-4</v>
      </c>
      <c r="AP104" s="14">
        <f t="shared" si="219"/>
        <v>0</v>
      </c>
      <c r="AQ104" s="14">
        <f t="shared" si="220"/>
        <v>0</v>
      </c>
    </row>
    <row r="105" spans="1:43" x14ac:dyDescent="0.25">
      <c r="A105" s="10">
        <f t="shared" si="134"/>
        <v>101</v>
      </c>
      <c r="B105" s="15">
        <f t="shared" si="110"/>
        <v>43570</v>
      </c>
      <c r="C105" s="10">
        <v>2294</v>
      </c>
      <c r="D105" s="11">
        <v>44676276.289999999</v>
      </c>
      <c r="E105" s="12">
        <f t="shared" si="198"/>
        <v>0.46537773632300794</v>
      </c>
      <c r="F105" s="11">
        <v>175434.87</v>
      </c>
      <c r="M105" s="17">
        <f>IF(F105&gt;0.01,F105,#REF!)/D104</f>
        <v>3.8907556796105767E-3</v>
      </c>
      <c r="N105" s="17">
        <f t="shared" ref="N105" si="224">1-(+M105-1)^12</f>
        <v>4.5702806360559456E-2</v>
      </c>
      <c r="O105" s="20">
        <f t="shared" ref="O105" si="225">AVERAGE(N103:N105)</f>
        <v>4.64603109859845E-2</v>
      </c>
      <c r="P105" s="20">
        <f t="shared" ref="P105" si="226">AVERAGE(N100:N105)</f>
        <v>6.0840819036070436E-2</v>
      </c>
      <c r="Q105" s="17">
        <f t="shared" ref="Q105" si="227">AVERAGE(N94:N105)</f>
        <v>6.396785368805151E-2</v>
      </c>
      <c r="R105" s="11">
        <v>136889.19</v>
      </c>
      <c r="S105" s="18">
        <v>42998717</v>
      </c>
      <c r="T105" s="18">
        <v>1154192</v>
      </c>
      <c r="U105" s="18">
        <v>381368</v>
      </c>
      <c r="V105" s="18">
        <v>121469</v>
      </c>
      <c r="W105" s="18">
        <v>100799</v>
      </c>
      <c r="X105" s="18">
        <v>0</v>
      </c>
      <c r="Y105" s="11">
        <v>0</v>
      </c>
      <c r="Z105" s="11">
        <f t="shared" si="212"/>
        <v>952112.85000000009</v>
      </c>
      <c r="AA105" s="14">
        <f t="shared" si="164"/>
        <v>9.9178391677245958E-3</v>
      </c>
      <c r="AB105" s="11">
        <v>27427111.48</v>
      </c>
      <c r="AC105" s="14">
        <f t="shared" si="213"/>
        <v>0.31744341990740743</v>
      </c>
      <c r="AD105" s="13">
        <f t="shared" si="204"/>
        <v>22855926.233333334</v>
      </c>
      <c r="AE105" s="19">
        <v>9600000</v>
      </c>
      <c r="AF105" s="12">
        <f t="shared" si="205"/>
        <v>1</v>
      </c>
      <c r="AG105" s="12">
        <f t="shared" si="206"/>
        <v>0.61390773264017706</v>
      </c>
      <c r="AH105" s="11">
        <v>280738.40999999997</v>
      </c>
      <c r="AI105" s="14">
        <f t="shared" si="207"/>
        <v>0.39237610373368914</v>
      </c>
      <c r="AK105" s="14">
        <f t="shared" si="214"/>
        <v>0.96245078083252222</v>
      </c>
      <c r="AL105" s="14">
        <f t="shared" si="215"/>
        <v>2.5834561334252149E-2</v>
      </c>
      <c r="AM105" s="14">
        <f t="shared" si="216"/>
        <v>8.5362530557490206E-3</v>
      </c>
      <c r="AN105" s="14">
        <f t="shared" si="217"/>
        <v>2.7188702838958113E-3</v>
      </c>
      <c r="AO105" s="14">
        <f t="shared" si="218"/>
        <v>2.256208627274563E-3</v>
      </c>
      <c r="AP105" s="14">
        <f t="shared" si="219"/>
        <v>0</v>
      </c>
      <c r="AQ105" s="14">
        <f t="shared" si="220"/>
        <v>0</v>
      </c>
    </row>
    <row r="106" spans="1:43" x14ac:dyDescent="0.25">
      <c r="A106" s="10">
        <f t="shared" si="134"/>
        <v>102</v>
      </c>
      <c r="B106" s="15">
        <f t="shared" si="110"/>
        <v>43600</v>
      </c>
      <c r="C106" s="43">
        <f>'[162]Part 1'!$C$18</f>
        <v>2278</v>
      </c>
      <c r="D106" s="11">
        <f>'[162]Part 1'!$C$22</f>
        <v>44229018.859999999</v>
      </c>
      <c r="E106" s="12">
        <f t="shared" ref="E106" si="228">+D106/D$4</f>
        <v>0.46071880617905514</v>
      </c>
      <c r="F106" s="21">
        <f>'[162]Parts 2 - 3'!$C$49</f>
        <v>286886.84999999998</v>
      </c>
      <c r="M106" s="17">
        <f>IF(F106&gt;0.01,F106,#REF!)/D105</f>
        <v>6.4214584075399893E-3</v>
      </c>
      <c r="N106" s="17">
        <f t="shared" ref="N106" si="229">1-(+M106-1)^12</f>
        <v>7.4393403079306197E-2</v>
      </c>
      <c r="O106" s="20">
        <f t="shared" ref="O106" si="230">AVERAGE(N104:N106)</f>
        <v>5.3760067014199442E-2</v>
      </c>
      <c r="P106" s="20">
        <f t="shared" ref="P106" si="231">AVERAGE(N101:N106)</f>
        <v>6.1898131356901975E-2</v>
      </c>
      <c r="Q106" s="17">
        <f t="shared" ref="Q106" si="232">AVERAGE(N95:N106)</f>
        <v>6.527555996179181E-2</v>
      </c>
      <c r="R106" s="11">
        <f>'[162]Parts 4 - 6 '!$C$48</f>
        <v>0</v>
      </c>
      <c r="S106" s="18">
        <f>'[162]Parts 7-10'!$C$4</f>
        <v>42478182.340000004</v>
      </c>
      <c r="T106" s="18">
        <f>'[162]Parts 7-10'!$E$4</f>
        <v>1136173.19</v>
      </c>
      <c r="U106" s="18">
        <f>'[162]Parts 7-10'!$F$4</f>
        <v>255859.94</v>
      </c>
      <c r="V106" s="18">
        <f>'[162]Parts 7-10'!$G$4</f>
        <v>77294.45</v>
      </c>
      <c r="W106" s="18">
        <f>'[162]Parts 7-10'!$H$4</f>
        <v>29079.69</v>
      </c>
      <c r="X106" s="18">
        <f>'[162]Parts 7-10'!$J$4</f>
        <v>58686.559999999998</v>
      </c>
      <c r="Y106" s="11">
        <f>'[162]Parts 2 - 3'!$C$18</f>
        <v>0</v>
      </c>
      <c r="Z106" s="11">
        <f t="shared" ref="Z106:Z111" si="233">+Z105+Y106</f>
        <v>952112.85000000009</v>
      </c>
      <c r="AA106" s="14">
        <f t="shared" si="164"/>
        <v>9.9178391677245958E-3</v>
      </c>
      <c r="AB106" s="11">
        <f>'[162]Part 11'!$V$8</f>
        <v>26910682.570000038</v>
      </c>
      <c r="AC106" s="14">
        <f t="shared" ref="AC106" si="234">+AB106/AB$4</f>
        <v>0.31146623344907448</v>
      </c>
      <c r="AD106" s="13">
        <f t="shared" ref="AD106" si="235">+AB106*$AD$2</f>
        <v>22425568.808333367</v>
      </c>
      <c r="AE106" s="19">
        <f>'[162]Part 11'!$V$9</f>
        <v>9600000</v>
      </c>
      <c r="AF106" s="12">
        <f t="shared" ref="AF106" si="236">+AE106/$AE$4</f>
        <v>1</v>
      </c>
      <c r="AG106" s="12">
        <f t="shared" si="206"/>
        <v>0.6084395101591914</v>
      </c>
      <c r="AH106" s="11">
        <f>'[162]Parts 4 - 6 '!$C$31</f>
        <v>274271.11480000039</v>
      </c>
      <c r="AI106" s="14">
        <f t="shared" si="207"/>
        <v>0.39776164740363318</v>
      </c>
      <c r="AK106" s="14">
        <f t="shared" ref="AK106" si="237">+S106/$D106</f>
        <v>0.96041430343408718</v>
      </c>
      <c r="AL106" s="14">
        <f t="shared" ref="AL106" si="238">+T106/$D106</f>
        <v>2.5688410443749102E-2</v>
      </c>
      <c r="AM106" s="14">
        <f t="shared" ref="AM106:AM111" si="239">+U106/$D106</f>
        <v>5.7848884419047231E-3</v>
      </c>
      <c r="AN106" s="14">
        <f t="shared" ref="AN106" si="240">+V106/$D106</f>
        <v>1.747595854311474E-3</v>
      </c>
      <c r="AO106" s="14">
        <f t="shared" ref="AO106" si="241">+W106/$D106</f>
        <v>6.5747987971533312E-4</v>
      </c>
      <c r="AP106" s="14">
        <f t="shared" ref="AP106" si="242">+X106/$D106</f>
        <v>1.3268790832951342E-3</v>
      </c>
      <c r="AQ106" s="14">
        <f t="shared" ref="AQ106" si="243">+Y106/$D106</f>
        <v>0</v>
      </c>
    </row>
    <row r="107" spans="1:43" x14ac:dyDescent="0.25">
      <c r="A107" s="10">
        <f t="shared" si="134"/>
        <v>103</v>
      </c>
      <c r="B107" s="15">
        <f t="shared" si="110"/>
        <v>43631</v>
      </c>
      <c r="C107" s="43">
        <f>'[163]Part 1'!$C$18</f>
        <v>2266</v>
      </c>
      <c r="D107" s="11">
        <f>'[163]Part 1'!$C$22</f>
        <v>43794121.439999998</v>
      </c>
      <c r="E107" s="12">
        <f t="shared" ref="E107" si="244">+D107/D$4</f>
        <v>0.45618862610006722</v>
      </c>
      <c r="F107" s="11">
        <f>'[163]Parts 2 - 3'!$C$49</f>
        <v>290236.57</v>
      </c>
      <c r="M107" s="17">
        <f>IF(F107&gt;0.01,F107,#REF!)/D106</f>
        <v>6.5621299653672669E-3</v>
      </c>
      <c r="N107" s="17">
        <f t="shared" ref="N107" si="245">1-(+M107-1)^12</f>
        <v>7.5964755598940115E-2</v>
      </c>
      <c r="O107" s="20">
        <f t="shared" ref="O107" si="246">AVERAGE(N105:N107)</f>
        <v>6.5353655012935261E-2</v>
      </c>
      <c r="P107" s="20">
        <f t="shared" ref="P107" si="247">AVERAGE(N102:N107)</f>
        <v>6.0868931547961615E-2</v>
      </c>
      <c r="Q107" s="17">
        <f t="shared" ref="Q107" si="248">AVERAGE(N96:N107)</f>
        <v>6.433285316925029E-2</v>
      </c>
      <c r="R107" s="11">
        <f>'[163]Parts 4 - 6 '!$C$48</f>
        <v>0</v>
      </c>
      <c r="S107" s="18">
        <f>'[163]Parts 7-10'!$C$4</f>
        <v>41594862.229999997</v>
      </c>
      <c r="T107" s="18">
        <f>'[163]Parts 7-10'!$E$4</f>
        <v>1415007.89</v>
      </c>
      <c r="U107" s="18">
        <f>'[163]Parts 7-10'!$F$4</f>
        <v>421074.12</v>
      </c>
      <c r="V107" s="18">
        <f>'[163]Parts 7-10'!$G$4</f>
        <v>80458.69</v>
      </c>
      <c r="W107" s="18">
        <f>'[163]Parts 7-10'!$H$4</f>
        <v>37641.82</v>
      </c>
      <c r="X107" s="18">
        <f>'[163]Parts 7-10'!$J$4</f>
        <v>31547.79</v>
      </c>
      <c r="Y107" s="11">
        <f>'[163]Parts 2 - 3'!$C$18</f>
        <v>19786.21</v>
      </c>
      <c r="Z107" s="11">
        <f t="shared" si="233"/>
        <v>971899.06</v>
      </c>
      <c r="AA107" s="14">
        <f t="shared" si="164"/>
        <v>1.012394545913619E-2</v>
      </c>
      <c r="AB107" s="11">
        <f>'[163]Part 11'!$V$8</f>
        <v>26404106.600000039</v>
      </c>
      <c r="AC107" s="14">
        <f t="shared" ref="AC107" si="249">+AB107/AB$4</f>
        <v>0.30560308564814859</v>
      </c>
      <c r="AD107" s="13">
        <f t="shared" ref="AD107" si="250">+AB107*$AD$2</f>
        <v>22003422.166666701</v>
      </c>
      <c r="AE107" s="19">
        <f>'[163]Part 11'!$V$9</f>
        <v>9600000</v>
      </c>
      <c r="AF107" s="12">
        <f t="shared" ref="AF107" si="251">+AE107/$AE$4</f>
        <v>1</v>
      </c>
      <c r="AG107" s="12">
        <f t="shared" si="206"/>
        <v>0.60291440339030211</v>
      </c>
      <c r="AH107" s="11">
        <f>'[163]Parts 4 - 6 '!$C$31</f>
        <v>269106.82570000039</v>
      </c>
      <c r="AI107" s="14">
        <f t="shared" si="207"/>
        <v>0.40323041278254168</v>
      </c>
      <c r="AK107" s="14">
        <f t="shared" ref="AK107" si="252">+S107/$D107</f>
        <v>0.94978186254944996</v>
      </c>
      <c r="AL107" s="14">
        <f t="shared" ref="AL107" si="253">+T107/$D107</f>
        <v>3.2310452715409013E-2</v>
      </c>
      <c r="AM107" s="14">
        <f t="shared" si="239"/>
        <v>9.6148548287900079E-3</v>
      </c>
      <c r="AN107" s="14">
        <f t="shared" ref="AN107" si="254">+V107/$D107</f>
        <v>1.8372029704998691E-3</v>
      </c>
      <c r="AO107" s="14">
        <f t="shared" ref="AO107" si="255">+W107/$D107</f>
        <v>8.5951764214681323E-4</v>
      </c>
      <c r="AP107" s="14">
        <f t="shared" ref="AP107" si="256">+X107/$D107</f>
        <v>7.2036586104877009E-4</v>
      </c>
      <c r="AQ107" s="14">
        <f t="shared" ref="AQ107" si="257">+Y107/$D107</f>
        <v>4.518005921664175E-4</v>
      </c>
    </row>
    <row r="108" spans="1:43" x14ac:dyDescent="0.25">
      <c r="A108" s="10">
        <f t="shared" si="134"/>
        <v>104</v>
      </c>
      <c r="B108" s="15">
        <f t="shared" si="110"/>
        <v>43661</v>
      </c>
      <c r="C108" s="43">
        <f>'[164]Part 1'!$C$18</f>
        <v>2254</v>
      </c>
      <c r="D108" s="11">
        <f>'[164]Part 1'!$C$22</f>
        <v>43433807.240000002</v>
      </c>
      <c r="E108" s="12">
        <f t="shared" ref="E108" si="258">+D108/D$4</f>
        <v>0.45243535432619369</v>
      </c>
      <c r="F108" s="11">
        <f>'[164]Parts 2 - 3'!$C$49</f>
        <v>191021.3</v>
      </c>
      <c r="M108" s="17">
        <f>IF(F108&gt;0.01,F108,#REF!)/D107</f>
        <v>4.3618023085976992E-3</v>
      </c>
      <c r="N108" s="17">
        <f t="shared" ref="N108" si="259">1-(+M108-1)^12</f>
        <v>5.1104035326681285E-2</v>
      </c>
      <c r="O108" s="20">
        <f t="shared" ref="O108:O113" si="260">AVERAGE(N106:N108)</f>
        <v>6.7154064668309199E-2</v>
      </c>
      <c r="P108" s="20">
        <f t="shared" ref="P108" si="261">AVERAGE(N103:N108)</f>
        <v>5.6807187827146853E-2</v>
      </c>
      <c r="Q108" s="17">
        <f t="shared" ref="Q108" si="262">AVERAGE(N97:N108)</f>
        <v>6.2677747593501754E-2</v>
      </c>
      <c r="R108" s="11">
        <f>'[164]Parts 4 - 6 '!$C$48</f>
        <v>0</v>
      </c>
      <c r="S108" s="18">
        <f>'[164]Parts 7-10'!$C$4</f>
        <v>40898607.689999998</v>
      </c>
      <c r="T108" s="18">
        <f>'[164]Parts 7-10'!$E$4</f>
        <v>1709473.14</v>
      </c>
      <c r="U108" s="18">
        <f>'[164]Parts 7-10'!$F$4</f>
        <v>397318.06</v>
      </c>
      <c r="V108" s="18">
        <f>'[164]Parts 7-10'!$G$4</f>
        <v>105993.08</v>
      </c>
      <c r="W108" s="18">
        <f>'[164]Parts 7-10'!$H$4</f>
        <v>59404.91</v>
      </c>
      <c r="X108" s="18">
        <f>'[164]Parts 7-10'!$J$4</f>
        <v>17933.669999999998</v>
      </c>
      <c r="Y108" s="11">
        <f>'[164]Parts 2 - 3'!$C$18</f>
        <v>31547.79</v>
      </c>
      <c r="Z108" s="11">
        <f t="shared" si="233"/>
        <v>1003446.8500000001</v>
      </c>
      <c r="AA108" s="14">
        <f t="shared" ref="AA108:AA129" si="263">+Z108/D$4</f>
        <v>1.0452568171577421E-2</v>
      </c>
      <c r="AB108" s="11">
        <f>'[164]Part 11'!$V$8</f>
        <v>25996856.570000038</v>
      </c>
      <c r="AC108" s="14">
        <f t="shared" ref="AC108" si="264">+AB108/AB$4</f>
        <v>0.30088954363425968</v>
      </c>
      <c r="AD108" s="13">
        <f t="shared" ref="AD108" si="265">+AB108*$AD$2</f>
        <v>21664047.141666699</v>
      </c>
      <c r="AE108" s="19">
        <f>'[164]Part 11'!$V$9</f>
        <v>9600000</v>
      </c>
      <c r="AF108" s="12">
        <f t="shared" ref="AF108" si="266">+AE108/$AE$4</f>
        <v>1</v>
      </c>
      <c r="AG108" s="12">
        <f t="shared" si="206"/>
        <v>0.5985396681057803</v>
      </c>
      <c r="AH108" s="11">
        <f>'[164]Parts 4 - 6 '!$C$31</f>
        <v>264041.0660000004</v>
      </c>
      <c r="AI108" s="14">
        <f t="shared" si="207"/>
        <v>0.40753949194898997</v>
      </c>
      <c r="AK108" s="14">
        <f t="shared" ref="AK108" si="267">+S108/$D108</f>
        <v>0.94163073165584177</v>
      </c>
      <c r="AL108" s="14">
        <f t="shared" ref="AL108" si="268">+T108/$D108</f>
        <v>3.9358123282954453E-2</v>
      </c>
      <c r="AM108" s="14">
        <f t="shared" si="239"/>
        <v>9.147668262295303E-3</v>
      </c>
      <c r="AN108" s="14">
        <f t="shared" ref="AN108" si="269">+V108/$D108</f>
        <v>2.4403359211482285E-3</v>
      </c>
      <c r="AO108" s="14">
        <f t="shared" ref="AO108" si="270">+W108/$D108</f>
        <v>1.3677113238484777E-3</v>
      </c>
      <c r="AP108" s="14">
        <f t="shared" ref="AP108" si="271">+X108/$D108</f>
        <v>4.1289656927620506E-4</v>
      </c>
      <c r="AQ108" s="14">
        <f t="shared" ref="AQ108" si="272">+Y108/$D108</f>
        <v>7.2634180618056266E-4</v>
      </c>
    </row>
    <row r="109" spans="1:43" x14ac:dyDescent="0.25">
      <c r="A109" s="10">
        <f t="shared" si="134"/>
        <v>105</v>
      </c>
      <c r="B109" s="15">
        <f t="shared" si="110"/>
        <v>43692</v>
      </c>
      <c r="C109" s="43">
        <f>'[165]Part 1'!$C$18</f>
        <v>2248</v>
      </c>
      <c r="D109" s="11">
        <f>'[165]Part 1'!$C$22</f>
        <v>43162431.539999999</v>
      </c>
      <c r="E109" s="12">
        <f t="shared" ref="E109" si="273">+D109/D$4</f>
        <v>0.44960852497857096</v>
      </c>
      <c r="F109" s="11">
        <f>'[165]Parts 2 - 3'!$C$49</f>
        <v>119108.45</v>
      </c>
      <c r="M109" s="17">
        <f>IF(F109&gt;0.01,F109,#REF!)/D108</f>
        <v>2.742298167458552E-3</v>
      </c>
      <c r="N109" s="17">
        <f t="shared" ref="N109" si="274">1-(+M109-1)^12</f>
        <v>3.2415753966507532E-2</v>
      </c>
      <c r="O109" s="20">
        <f t="shared" si="260"/>
        <v>5.3161514964042977E-2</v>
      </c>
      <c r="P109" s="20">
        <f t="shared" ref="P109" si="275">AVERAGE(N104:N109)</f>
        <v>5.346079098912121E-2</v>
      </c>
      <c r="Q109" s="17">
        <f t="shared" ref="Q109" si="276">AVERAGE(N98:N109)</f>
        <v>6.0371296433670757E-2</v>
      </c>
      <c r="R109" s="11">
        <f>'[165]Parts 4 - 6 '!$C$48</f>
        <v>0</v>
      </c>
      <c r="S109" s="18">
        <f>'[165]Parts 7-10'!$C$4</f>
        <v>40889839.969999999</v>
      </c>
      <c r="T109" s="18">
        <f>'[165]Parts 7-10'!$E$4</f>
        <v>1440777.78</v>
      </c>
      <c r="U109" s="18">
        <f>'[165]Parts 7-10'!$F$4</f>
        <v>353431.51</v>
      </c>
      <c r="V109" s="18">
        <f>'[165]Parts 7-10'!$G$4</f>
        <v>164572.53</v>
      </c>
      <c r="W109" s="18">
        <f>'[165]Parts 7-10'!$H$4</f>
        <v>31091.24</v>
      </c>
      <c r="X109" s="18">
        <f>'[165]Parts 7-10'!$J$4</f>
        <v>19708.150000000001</v>
      </c>
      <c r="Y109" s="11">
        <f>'[165]Parts 7-10'!$P15</f>
        <v>17933.669999999998</v>
      </c>
      <c r="Z109" s="11">
        <f t="shared" si="233"/>
        <v>1021380.5200000001</v>
      </c>
      <c r="AA109" s="14">
        <f t="shared" si="263"/>
        <v>1.063937717719797E-2</v>
      </c>
      <c r="AB109" s="11">
        <f>'[165]Part 11'!$V$8</f>
        <v>25639517.54000004</v>
      </c>
      <c r="AC109" s="14">
        <f t="shared" ref="AC109" si="277">+AB109/AB$4</f>
        <v>0.29675367523148194</v>
      </c>
      <c r="AD109" s="13">
        <f t="shared" ref="AD109" si="278">+AB109*$AD$2</f>
        <v>21366264.616666701</v>
      </c>
      <c r="AE109" s="19">
        <f>'[165]Part 11'!$V$9</f>
        <v>9600000</v>
      </c>
      <c r="AF109" s="12">
        <f t="shared" ref="AF109" si="279">+AE109/$AE$4</f>
        <v>1</v>
      </c>
      <c r="AG109" s="12">
        <f t="shared" si="206"/>
        <v>0.59402393760506944</v>
      </c>
      <c r="AH109" s="11">
        <f>'[165]Parts 4 - 6 '!$C$31</f>
        <v>259968.56570000041</v>
      </c>
      <c r="AI109" s="14">
        <f t="shared" si="207"/>
        <v>0.41199909113600325</v>
      </c>
      <c r="AK109" s="14">
        <f t="shared" ref="AK109" si="280">+S109/$D109</f>
        <v>0.9473479252925332</v>
      </c>
      <c r="AL109" s="14">
        <f t="shared" ref="AL109" si="281">+T109/$D109</f>
        <v>3.3380366411118093E-2</v>
      </c>
      <c r="AM109" s="14">
        <f t="shared" si="239"/>
        <v>8.1884059213036646E-3</v>
      </c>
      <c r="AN109" s="14">
        <f t="shared" ref="AN109" si="282">+V109/$D109</f>
        <v>3.8128651266434192E-3</v>
      </c>
      <c r="AO109" s="14">
        <f t="shared" ref="AO109" si="283">+W109/$D109</f>
        <v>7.2033105853146293E-4</v>
      </c>
      <c r="AP109" s="14">
        <f t="shared" ref="AP109" si="284">+X109/$D109</f>
        <v>4.5660425737914767E-4</v>
      </c>
      <c r="AQ109" s="14">
        <f t="shared" ref="AQ109" si="285">+Y109/$D109</f>
        <v>4.1549257908188737E-4</v>
      </c>
    </row>
    <row r="110" spans="1:43" x14ac:dyDescent="0.25">
      <c r="A110" s="10">
        <f t="shared" si="134"/>
        <v>106</v>
      </c>
      <c r="B110" s="15">
        <f t="shared" si="110"/>
        <v>43723</v>
      </c>
      <c r="C110" s="43">
        <f>'[166]Part 1'!$C$18</f>
        <v>2243</v>
      </c>
      <c r="D110" s="11">
        <f>'[166]Part 1'!$C$22</f>
        <v>42918955.640000001</v>
      </c>
      <c r="E110" s="12">
        <f t="shared" ref="E110" si="286">+D110/D$4</f>
        <v>0.44707231845912637</v>
      </c>
      <c r="F110" s="11">
        <f>'[166]Parts 2 - 3'!$C$49</f>
        <v>60686.55</v>
      </c>
      <c r="M110" s="17">
        <f>IF(F110&gt;0.01,F110,#REF!)/D109</f>
        <v>1.4060039676810109E-3</v>
      </c>
      <c r="N110" s="17">
        <f t="shared" ref="N110" si="287">1-(+M110-1)^12</f>
        <v>1.6742185249811303E-2</v>
      </c>
      <c r="O110" s="20">
        <f t="shared" si="260"/>
        <v>3.342065818100004E-2</v>
      </c>
      <c r="P110" s="20">
        <f t="shared" ref="P110" si="288">AVERAGE(N105:N110)</f>
        <v>4.938715659696765E-2</v>
      </c>
      <c r="Q110" s="17">
        <f t="shared" ref="Q110" si="289">AVERAGE(N99:N110)</f>
        <v>5.3591926337099777E-2</v>
      </c>
      <c r="R110" s="11">
        <f>'[166]Parts 4 - 6 '!$C$48</f>
        <v>0</v>
      </c>
      <c r="S110" s="18">
        <f>'[166]Parts 7-10'!$C$4</f>
        <v>40532395.629999995</v>
      </c>
      <c r="T110" s="18">
        <f>'[166]Parts 7-10'!$E$4</f>
        <v>1349149.37</v>
      </c>
      <c r="U110" s="18">
        <f>'[166]Parts 7-10'!$F$4</f>
        <v>549482.69999999995</v>
      </c>
      <c r="V110" s="18">
        <f>'[166]Parts 7-10'!$G$4</f>
        <v>50945.66</v>
      </c>
      <c r="W110" s="18">
        <f>'[166]Parts 7-10'!$H$4</f>
        <v>136666.67000000001</v>
      </c>
      <c r="X110" s="18">
        <f>'[166]Parts 7-10'!$J$4</f>
        <v>17597.099999999999</v>
      </c>
      <c r="Y110" s="11">
        <f>'[166]Parts 7-10'!$P$15</f>
        <v>21665.280000000002</v>
      </c>
      <c r="Z110" s="11">
        <f t="shared" si="233"/>
        <v>1043045.8000000002</v>
      </c>
      <c r="AA110" s="14">
        <f t="shared" si="263"/>
        <v>1.0865057108483133E-2</v>
      </c>
      <c r="AB110" s="11">
        <f>'[166]Part 11'!$V$8</f>
        <v>25333130.900000039</v>
      </c>
      <c r="AC110" s="14">
        <f t="shared" ref="AC110" si="290">+AB110/AB$4</f>
        <v>0.29320753356481527</v>
      </c>
      <c r="AD110" s="13">
        <f t="shared" ref="AD110" si="291">+AB110*$AD$2</f>
        <v>21110942.416666701</v>
      </c>
      <c r="AE110" s="19">
        <f>'[166]Part 11'!$V$9</f>
        <v>9600000</v>
      </c>
      <c r="AF110" s="12">
        <f t="shared" ref="AF110" si="292">+AE110/$AE$4</f>
        <v>1</v>
      </c>
      <c r="AG110" s="12">
        <f t="shared" si="206"/>
        <v>0.59025506381124138</v>
      </c>
      <c r="AH110" s="11">
        <f>'[166]Parts 4 - 6 '!$C$31</f>
        <v>256395.17540000041</v>
      </c>
      <c r="AI110" s="14">
        <f t="shared" si="207"/>
        <v>0.41571887408115799</v>
      </c>
      <c r="AK110" s="14">
        <f t="shared" ref="AK110" si="293">+S110/$D110</f>
        <v>0.94439380049183308</v>
      </c>
      <c r="AL110" s="14">
        <f t="shared" ref="AL110" si="294">+T110/$D110</f>
        <v>3.143481358951352E-2</v>
      </c>
      <c r="AM110" s="14">
        <f t="shared" si="239"/>
        <v>1.2802797547289059E-2</v>
      </c>
      <c r="AN110" s="14">
        <f t="shared" ref="AN110" si="295">+V110/$D110</f>
        <v>1.1870200297352809E-3</v>
      </c>
      <c r="AO110" s="14">
        <f t="shared" ref="AO110" si="296">+W110/$D110</f>
        <v>3.1842962616878815E-3</v>
      </c>
      <c r="AP110" s="14">
        <f t="shared" ref="AP110" si="297">+X110/$D110</f>
        <v>4.1000764668187064E-4</v>
      </c>
      <c r="AQ110" s="14">
        <f t="shared" ref="AQ110" si="298">+Y110/$D110</f>
        <v>5.047951348519813E-4</v>
      </c>
    </row>
    <row r="111" spans="1:43" x14ac:dyDescent="0.25">
      <c r="A111" s="10">
        <f t="shared" si="134"/>
        <v>107</v>
      </c>
      <c r="B111" s="15">
        <f t="shared" si="110"/>
        <v>43753</v>
      </c>
      <c r="C111" s="43">
        <f>'[167]Part 1'!$C$18</f>
        <v>2229</v>
      </c>
      <c r="D111" s="11">
        <f>'[167]Part 1'!$C$22</f>
        <v>42483020.439999998</v>
      </c>
      <c r="E111" s="12">
        <f t="shared" ref="E111" si="299">+D111/D$4</f>
        <v>0.44253132817509661</v>
      </c>
      <c r="F111" s="11">
        <f>'[167]Parts 2 - 3'!$C$49</f>
        <v>263125.68</v>
      </c>
      <c r="M111" s="17">
        <f>IF(F111&gt;0.01,F111,#REF!)/D110</f>
        <v>6.1307568200650647E-3</v>
      </c>
      <c r="N111" s="17">
        <f t="shared" ref="N111" si="300">1-(+M111-1)^12</f>
        <v>7.1138396507733903E-2</v>
      </c>
      <c r="O111" s="20">
        <f t="shared" si="260"/>
        <v>4.0098778574684246E-2</v>
      </c>
      <c r="P111" s="20">
        <f t="shared" ref="P111" si="301">AVERAGE(N106:N111)</f>
        <v>5.3626421621496723E-2</v>
      </c>
      <c r="Q111" s="17">
        <f t="shared" ref="Q111" si="302">AVERAGE(N100:N111)</f>
        <v>5.7233620328783576E-2</v>
      </c>
      <c r="R111" s="11">
        <f>'[167]Parts 4 - 6 '!$C$48</f>
        <v>0</v>
      </c>
      <c r="S111" s="18">
        <f>'[167]Parts 7-10'!$C$4</f>
        <v>40111799.990000002</v>
      </c>
      <c r="T111" s="18">
        <f>'[167]Parts 7-10'!$E$4</f>
        <v>1229841.43</v>
      </c>
      <c r="U111" s="18">
        <f>'[167]Parts 7-10'!$F$4</f>
        <v>566092.66</v>
      </c>
      <c r="V111" s="18">
        <f>'[167]Parts 7-10'!$G$4</f>
        <v>204544.51</v>
      </c>
      <c r="W111" s="18">
        <f>'[167]Parts 7-10'!$H$4</f>
        <v>11482.9</v>
      </c>
      <c r="X111" s="18">
        <f>'[167]Parts 7-10'!$J$4</f>
        <v>119247.36</v>
      </c>
      <c r="Y111" s="11">
        <f>'[168]Parts 7-10'!$P$15</f>
        <v>17597.099999999999</v>
      </c>
      <c r="Z111" s="11">
        <f t="shared" si="233"/>
        <v>1060642.9000000001</v>
      </c>
      <c r="AA111" s="14">
        <f t="shared" si="263"/>
        <v>1.1048360177671168E-2</v>
      </c>
      <c r="AB111" s="11">
        <f>'[167]Part 11'!$V$8</f>
        <v>24833771.510000039</v>
      </c>
      <c r="AC111" s="14">
        <f t="shared" ref="AC111" si="303">+AB111/AB$4</f>
        <v>0.28742791099537079</v>
      </c>
      <c r="AD111" s="13">
        <f t="shared" ref="AD111" si="304">+AB111*$AD$2</f>
        <v>20694809.591666698</v>
      </c>
      <c r="AE111" s="19">
        <f>'[167]Part 11'!$V$9</f>
        <v>9600000</v>
      </c>
      <c r="AF111" s="12">
        <f t="shared" ref="AF111" si="305">+AE111/$AE$4</f>
        <v>1</v>
      </c>
      <c r="AG111" s="12">
        <f t="shared" si="206"/>
        <v>0.58455757742257275</v>
      </c>
      <c r="AH111" s="11">
        <f>'[167]Parts 4 - 6 '!$C$31</f>
        <v>253331.30900000039</v>
      </c>
      <c r="AI111" s="14">
        <f t="shared" si="207"/>
        <v>0.42140554163949556</v>
      </c>
      <c r="AK111" s="14">
        <f t="shared" ref="AK111" si="306">+S111/$D111</f>
        <v>0.94418427820241879</v>
      </c>
      <c r="AL111" s="14">
        <f t="shared" ref="AL111" si="307">+T111/$D111</f>
        <v>2.8949011093430625E-2</v>
      </c>
      <c r="AM111" s="14">
        <f t="shared" si="239"/>
        <v>1.3325150945882229E-2</v>
      </c>
      <c r="AN111" s="14">
        <f t="shared" ref="AN111" si="308">+V111/$D111</f>
        <v>4.8147355786268579E-3</v>
      </c>
      <c r="AO111" s="14">
        <f t="shared" ref="AO111" si="309">+W111/$D111</f>
        <v>2.7029386990545156E-4</v>
      </c>
      <c r="AP111" s="14">
        <f t="shared" ref="AP111" si="310">+X111/$D111</f>
        <v>2.8069416619850868E-3</v>
      </c>
      <c r="AQ111" s="14">
        <f t="shared" ref="AQ111" si="311">+Y111/$D111</f>
        <v>4.1421489851110969E-4</v>
      </c>
    </row>
    <row r="112" spans="1:43" x14ac:dyDescent="0.25">
      <c r="A112" s="10">
        <f t="shared" si="134"/>
        <v>108</v>
      </c>
      <c r="B112" s="15">
        <f t="shared" si="110"/>
        <v>43784</v>
      </c>
      <c r="C112" s="43">
        <f>'[169]Part 1'!$C$18</f>
        <v>2215</v>
      </c>
      <c r="D112" s="11">
        <f>'[169]Part 1'!$C$22</f>
        <v>42084668.969999999</v>
      </c>
      <c r="E112" s="12">
        <f t="shared" ref="E112" si="312">+D112/D$4</f>
        <v>0.43838183495936417</v>
      </c>
      <c r="F112" s="11">
        <f>'[169]Parts 2 - 3'!$C$49</f>
        <v>238035.52</v>
      </c>
      <c r="M112" s="17">
        <f>IF(F112&gt;0.01,F112,#REF!)/D111</f>
        <v>5.6030742996766077E-3</v>
      </c>
      <c r="N112" s="17">
        <f t="shared" ref="N112" si="313">1-(+M112-1)^12</f>
        <v>6.5203074103475367E-2</v>
      </c>
      <c r="O112" s="20">
        <f t="shared" si="260"/>
        <v>5.1027885287006858E-2</v>
      </c>
      <c r="P112" s="20">
        <f t="shared" ref="P112" si="314">AVERAGE(N107:N112)</f>
        <v>5.2094700125524918E-2</v>
      </c>
      <c r="Q112" s="17">
        <f t="shared" ref="Q112" si="315">AVERAGE(N101:N112)</f>
        <v>5.6996415741213446E-2</v>
      </c>
      <c r="R112" s="11">
        <f>'[169]Parts 4 - 6 '!$C$48</f>
        <v>0</v>
      </c>
      <c r="S112" s="18">
        <f>'[169]Parts 7-10'!$C$4</f>
        <v>39702966.990000002</v>
      </c>
      <c r="T112" s="18">
        <f>'[169]Parts 7-10'!$E$4</f>
        <v>1354442.61</v>
      </c>
      <c r="U112" s="18">
        <f>'[169]Parts 7-10'!$F$4</f>
        <v>504441</v>
      </c>
      <c r="V112" s="18">
        <f>'[169]Parts 7-10'!$G$4</f>
        <v>85359.13</v>
      </c>
      <c r="W112" s="18">
        <f>'[169]Parts 7-10'!$H$4</f>
        <v>90128.95</v>
      </c>
      <c r="X112" s="18">
        <f>'[169]Parts 7-10'!$J$4</f>
        <v>0</v>
      </c>
      <c r="Y112" s="11">
        <f>'[170]Parts 7-10'!$P$15</f>
        <v>107318.7</v>
      </c>
      <c r="Z112" s="11">
        <f t="shared" ref="Z112" si="316">+Z111+Y112</f>
        <v>1167961.6000000001</v>
      </c>
      <c r="AA112" s="14">
        <f t="shared" si="263"/>
        <v>1.2166262962293058E-2</v>
      </c>
      <c r="AB112" s="11">
        <f>'[169]Part 11'!$V$8</f>
        <v>24352165.270000041</v>
      </c>
      <c r="AC112" s="14">
        <f t="shared" ref="AC112" si="317">+AB112/AB$4</f>
        <v>0.28185376469907453</v>
      </c>
      <c r="AD112" s="13">
        <f t="shared" ref="AD112" si="318">+AB112*$AD$2</f>
        <v>20293471.058333367</v>
      </c>
      <c r="AE112" s="19">
        <f>'[169]Part 11'!$V$9</f>
        <v>9600000</v>
      </c>
      <c r="AF112" s="12">
        <f t="shared" ref="AF112" si="319">+AE112/$AE$4</f>
        <v>1</v>
      </c>
      <c r="AG112" s="12">
        <f t="shared" si="206"/>
        <v>0.57864694830698205</v>
      </c>
      <c r="AH112" s="11">
        <f>'[169]Parts 4 - 6 '!$C$31</f>
        <v>248337.71510000038</v>
      </c>
      <c r="AI112" s="14">
        <f t="shared" si="207"/>
        <v>0.42725395863081578</v>
      </c>
      <c r="AK112" s="14">
        <f t="shared" ref="AK112" si="320">+S112/$D112</f>
        <v>0.94340689761162688</v>
      </c>
      <c r="AL112" s="14">
        <f t="shared" ref="AL112" si="321">+T112/$D112</f>
        <v>3.2183753446308742E-2</v>
      </c>
      <c r="AM112" s="14">
        <f t="shared" ref="AM112" si="322">+U112/$D112</f>
        <v>1.1986336410524937E-2</v>
      </c>
      <c r="AN112" s="14">
        <f t="shared" ref="AN112" si="323">+V112/$D112</f>
        <v>2.028271389299703E-3</v>
      </c>
      <c r="AO112" s="14">
        <f t="shared" ref="AO112" si="324">+W112/$D112</f>
        <v>2.1416100495942666E-3</v>
      </c>
      <c r="AP112" s="14">
        <f t="shared" ref="AP112" si="325">+X112/$D112</f>
        <v>0</v>
      </c>
      <c r="AQ112" s="14">
        <f t="shared" ref="AQ112" si="326">+Y112/$D112</f>
        <v>2.550066392977975E-3</v>
      </c>
    </row>
    <row r="113" spans="1:43" x14ac:dyDescent="0.25">
      <c r="A113" s="10">
        <f t="shared" si="134"/>
        <v>109</v>
      </c>
      <c r="B113" s="15">
        <f t="shared" si="110"/>
        <v>43814</v>
      </c>
      <c r="C113" s="43">
        <f>'[171]Part 1'!$C$18</f>
        <v>2073</v>
      </c>
      <c r="D113" s="11">
        <f>'[171]Part 1'!$C$22</f>
        <v>41844197.909999996</v>
      </c>
      <c r="E113" s="12">
        <f t="shared" ref="E113" si="327">+D113/D$4</f>
        <v>0.43587692884705587</v>
      </c>
      <c r="F113" s="11">
        <f>'[171]Parts 2 - 3'!$C$49</f>
        <v>109081.12</v>
      </c>
      <c r="M113" s="17">
        <f>IF(F113&gt;0.01,F113,#REF!)/D112</f>
        <v>2.5919443509882026E-3</v>
      </c>
      <c r="N113" s="17">
        <f t="shared" ref="N113" si="328">1-(+M113-1)^12</f>
        <v>3.0663741268888045E-2</v>
      </c>
      <c r="O113" s="20">
        <f t="shared" si="260"/>
        <v>5.5668403960032441E-2</v>
      </c>
      <c r="P113" s="20">
        <f t="shared" ref="P113" si="329">AVERAGE(N108:N113)</f>
        <v>4.4544531070516237E-2</v>
      </c>
      <c r="Q113" s="17">
        <f t="shared" ref="Q113" si="330">AVERAGE(N102:N113)</f>
        <v>5.2706731309238926E-2</v>
      </c>
      <c r="R113" s="11">
        <f>'[171]Parts 4 - 6 '!$C$48</f>
        <v>0</v>
      </c>
      <c r="S113" s="18">
        <f>'[171]Parts 7-10'!$C$4</f>
        <v>39225956.010000005</v>
      </c>
      <c r="T113" s="18">
        <f>'[171]Parts 7-10'!$E$4</f>
        <v>1338616.83</v>
      </c>
      <c r="U113" s="18">
        <f>'[171]Parts 7-10'!$F$4</f>
        <v>563334.93999999994</v>
      </c>
      <c r="V113" s="18">
        <f>'[171]Parts 7-10'!$G$4</f>
        <v>284443.02</v>
      </c>
      <c r="W113" s="18">
        <f>'[171]Parts 7-10'!$H$4</f>
        <v>88889.51</v>
      </c>
      <c r="X113" s="18">
        <f>'[171]Parts 7-10'!$J$4</f>
        <v>41710.089999999997</v>
      </c>
      <c r="Y113" s="11">
        <f>'[172]Parts 7-10'!$P$15</f>
        <v>0</v>
      </c>
      <c r="Z113" s="21">
        <f t="shared" ref="Z113:Z118" si="331">+Z112+Y113</f>
        <v>1167961.6000000001</v>
      </c>
      <c r="AA113" s="14">
        <f t="shared" si="263"/>
        <v>1.2166262962293058E-2</v>
      </c>
      <c r="AB113" s="11">
        <f>'[171]Part 11'!$V$8</f>
        <v>24081035.20000004</v>
      </c>
      <c r="AC113" s="14">
        <f t="shared" ref="AC113" si="332">+AB113/AB$4</f>
        <v>0.27871568518518564</v>
      </c>
      <c r="AD113" s="13">
        <f t="shared" ref="AD113" si="333">+AB113*$AD$2</f>
        <v>20067529.333333369</v>
      </c>
      <c r="AE113" s="19">
        <f>'[171]Part 11'!$V$9</f>
        <v>9600000</v>
      </c>
      <c r="AF113" s="12">
        <f t="shared" ref="AF113" si="334">+AE113/$AE$4</f>
        <v>1</v>
      </c>
      <c r="AG113" s="12">
        <f t="shared" si="206"/>
        <v>0.57549281388531803</v>
      </c>
      <c r="AH113" s="11">
        <f>'[171]Parts 4 - 6 '!$C$31</f>
        <v>243521.65270000041</v>
      </c>
      <c r="AI113" s="14">
        <f t="shared" si="207"/>
        <v>0.4303269093944489</v>
      </c>
      <c r="AK113" s="14">
        <f t="shared" ref="AK113" si="335">+S113/$D113</f>
        <v>0.93742879465317031</v>
      </c>
      <c r="AL113" s="14">
        <f t="shared" ref="AL113" si="336">+T113/$D113</f>
        <v>3.19905004005369E-2</v>
      </c>
      <c r="AM113" s="14">
        <f t="shared" ref="AM113" si="337">+U113/$D113</f>
        <v>1.346267745916987E-2</v>
      </c>
      <c r="AN113" s="14">
        <f t="shared" ref="AN113" si="338">+V113/$D113</f>
        <v>6.7976693115683632E-3</v>
      </c>
      <c r="AO113" s="14">
        <f t="shared" ref="AO113" si="339">+W113/$D113</f>
        <v>2.1242971412951143E-3</v>
      </c>
      <c r="AP113" s="14">
        <f t="shared" ref="AP113" si="340">+X113/$D113</f>
        <v>9.9679506558380095E-4</v>
      </c>
      <c r="AQ113" s="14">
        <f t="shared" ref="AQ113" si="341">+Y113/$D113</f>
        <v>0</v>
      </c>
    </row>
    <row r="114" spans="1:43" ht="14.25" customHeight="1" x14ac:dyDescent="0.25">
      <c r="A114" s="10">
        <f t="shared" si="134"/>
        <v>110</v>
      </c>
      <c r="B114" s="15">
        <f t="shared" si="110"/>
        <v>43845</v>
      </c>
      <c r="C114" s="43">
        <f>'[173]Part 1'!$C$18</f>
        <v>2201</v>
      </c>
      <c r="D114" s="11">
        <f>'[173]Part 1'!$C$22</f>
        <v>41515273.689999998</v>
      </c>
      <c r="E114" s="12">
        <f t="shared" ref="E114" si="342">+D114/D$4</f>
        <v>0.43245063593195737</v>
      </c>
      <c r="F114" s="11">
        <f>'[173]Parts 2 - 3'!$C$49</f>
        <v>120110.04999999999</v>
      </c>
      <c r="M114" s="17">
        <f>IF(F114&gt;0.01,F114,#REF!)/D113</f>
        <v>2.8704110963803631E-3</v>
      </c>
      <c r="N114" s="17">
        <f t="shared" ref="N114" si="343">1-(+M114-1)^12</f>
        <v>3.3906311570040537E-2</v>
      </c>
      <c r="O114" s="20">
        <f t="shared" ref="O114" si="344">AVERAGE(N112:N114)</f>
        <v>4.3257708980801314E-2</v>
      </c>
      <c r="P114" s="20">
        <f t="shared" ref="P114" si="345">AVERAGE(N109:N114)</f>
        <v>4.1678243777742784E-2</v>
      </c>
      <c r="Q114" s="17">
        <f t="shared" ref="Q114" si="346">AVERAGE(N103:N114)</f>
        <v>4.9242715802444818E-2</v>
      </c>
      <c r="R114" s="11">
        <f>'[173]Parts 4 - 6 '!$C$48</f>
        <v>266646.42180000001</v>
      </c>
      <c r="S114" s="18">
        <f>'[173]Parts 7-10'!$C$4</f>
        <v>39269369.920000002</v>
      </c>
      <c r="T114" s="18">
        <f>'[173]Parts 7-10'!$E$4</f>
        <v>1187790.57</v>
      </c>
      <c r="U114" s="18">
        <f>'[173]Parts 7-10'!$F$4</f>
        <v>395433.87</v>
      </c>
      <c r="V114" s="18">
        <f>'[173]Parts 7-10'!$G$4</f>
        <v>165017</v>
      </c>
      <c r="W114" s="18">
        <f>'[173]Parts 7-10'!$H$4</f>
        <v>147891.81</v>
      </c>
      <c r="X114" s="18">
        <f>'[173]Parts 7-10'!$J$4</f>
        <v>45536.12</v>
      </c>
      <c r="Y114" s="11">
        <f>'[174]Parts 7-10'!$P$15</f>
        <v>14442.3</v>
      </c>
      <c r="Z114" s="11">
        <f t="shared" si="331"/>
        <v>1182403.9000000001</v>
      </c>
      <c r="AA114" s="14">
        <f t="shared" si="263"/>
        <v>1.2316703541487038E-2</v>
      </c>
      <c r="AB114" s="11">
        <f>'[173]Part 11'!$V$8</f>
        <v>23402973.420000039</v>
      </c>
      <c r="AC114" s="14">
        <f t="shared" ref="AC114" si="347">+AB114/AB$4</f>
        <v>0.27086774791666712</v>
      </c>
      <c r="AD114" s="13">
        <f t="shared" ref="AD114" si="348">+AB114*$AD$2</f>
        <v>19502477.850000035</v>
      </c>
      <c r="AE114" s="19">
        <f>'[173]Part 11'!$V$9</f>
        <v>9600000</v>
      </c>
      <c r="AF114" s="12">
        <f t="shared" ref="AF114" si="349">+AE114/$AE$4</f>
        <v>1</v>
      </c>
      <c r="AG114" s="12">
        <f t="shared" si="206"/>
        <v>0.56371959859287246</v>
      </c>
      <c r="AH114" s="11">
        <f>'[173]Parts 4 - 6 '!$C$31</f>
        <v>240810.35200000042</v>
      </c>
      <c r="AI114" s="14">
        <f t="shared" si="207"/>
        <v>0.44208092566232476</v>
      </c>
      <c r="AK114" s="14">
        <f t="shared" ref="AK114" si="350">+S114/$D114</f>
        <v>0.94590174722752751</v>
      </c>
      <c r="AL114" s="14">
        <f t="shared" ref="AL114" si="351">+T114/$D114</f>
        <v>2.8610929530885145E-2</v>
      </c>
      <c r="AM114" s="14">
        <f t="shared" ref="AM114" si="352">+U114/$D114</f>
        <v>9.5250213921930678E-3</v>
      </c>
      <c r="AN114" s="14">
        <f t="shared" ref="AN114" si="353">+V114/$D114</f>
        <v>3.9748503462172409E-3</v>
      </c>
      <c r="AO114" s="14">
        <f t="shared" ref="AO114" si="354">+W114/$D114</f>
        <v>3.5623469835301476E-3</v>
      </c>
      <c r="AP114" s="14">
        <f t="shared" ref="AP114" si="355">+X114/$D114</f>
        <v>1.0968522173314861E-3</v>
      </c>
      <c r="AQ114" s="14">
        <f t="shared" ref="AQ114" si="356">+Y114/$D114</f>
        <v>3.4787919520518041E-4</v>
      </c>
    </row>
    <row r="115" spans="1:43" ht="14.25" customHeight="1" x14ac:dyDescent="0.25">
      <c r="A115" s="10">
        <f t="shared" si="134"/>
        <v>111</v>
      </c>
      <c r="B115" s="15">
        <f t="shared" si="110"/>
        <v>43876</v>
      </c>
      <c r="C115" s="43">
        <f>'[175]Part 1'!$C$18</f>
        <v>2188</v>
      </c>
      <c r="D115" s="11">
        <f>'[175]Part 1'!$C$22</f>
        <v>41126683.450000003</v>
      </c>
      <c r="E115" s="12">
        <f t="shared" ref="E115" si="357">+D115/D$4</f>
        <v>0.42840282216443237</v>
      </c>
      <c r="F115" s="11">
        <f>'[175]Parts 2 - 3'!$C$49</f>
        <v>204710.53</v>
      </c>
      <c r="M115" s="17">
        <f>IF(F115&gt;0.01,F115,#REF!)/D114</f>
        <v>4.930969058005023E-3</v>
      </c>
      <c r="N115" s="17">
        <f t="shared" ref="N115" si="358">1-(+M115-1)^12</f>
        <v>5.7592960907533519E-2</v>
      </c>
      <c r="O115" s="20">
        <f t="shared" ref="O115" si="359">AVERAGE(N113:N115)</f>
        <v>4.0721004582154031E-2</v>
      </c>
      <c r="P115" s="20">
        <f t="shared" ref="P115" si="360">AVERAGE(N110:N115)</f>
        <v>4.5874444934580448E-2</v>
      </c>
      <c r="Q115" s="17">
        <f t="shared" ref="Q115" si="361">AVERAGE(N104:N115)</f>
        <v>4.9667617961850825E-2</v>
      </c>
      <c r="R115" s="11">
        <f>'[175]Parts 4 - 6 '!$C$48</f>
        <v>0</v>
      </c>
      <c r="S115" s="18">
        <f>'[175]Parts 7-10'!$C$4</f>
        <v>38822169.220000006</v>
      </c>
      <c r="T115" s="18">
        <f>'[175]Parts 7-10'!$E$4</f>
        <v>1249107.8999999999</v>
      </c>
      <c r="U115" s="18">
        <f>'[175]Parts 7-10'!$F$4</f>
        <v>493391.46</v>
      </c>
      <c r="V115" s="18">
        <f>'[175]Parts 7-10'!$G$4</f>
        <v>111516.03</v>
      </c>
      <c r="W115" s="18">
        <f>'[175]Parts 7-10'!$H$4</f>
        <v>84362.44</v>
      </c>
      <c r="X115" s="18">
        <f>'[175]Parts 7-10'!$J$4</f>
        <v>29297.64</v>
      </c>
      <c r="Y115" s="11">
        <f>'[176]Parts 7-10'!$P$15</f>
        <v>32604.36</v>
      </c>
      <c r="Z115" s="11">
        <f t="shared" si="331"/>
        <v>1215008.2600000002</v>
      </c>
      <c r="AA115" s="14">
        <f t="shared" si="263"/>
        <v>1.265633218807719E-2</v>
      </c>
      <c r="AB115" s="11">
        <f>'[175]Part 11'!$V$8</f>
        <v>22957102.440000039</v>
      </c>
      <c r="AC115" s="14">
        <f t="shared" ref="AC115" si="362">+AB115/AB$4</f>
        <v>0.2657072041666671</v>
      </c>
      <c r="AD115" s="13">
        <f t="shared" ref="AD115" si="363">+AB115*$AD$2</f>
        <v>19130918.700000033</v>
      </c>
      <c r="AE115" s="19">
        <f>'[175]Part 11'!$V$9</f>
        <v>9600000</v>
      </c>
      <c r="AF115" s="12">
        <f t="shared" ref="AF115" si="364">+AE115/$AE$4</f>
        <v>1</v>
      </c>
      <c r="AG115" s="12">
        <f t="shared" si="206"/>
        <v>0.55820456487599501</v>
      </c>
      <c r="AH115" s="11">
        <f>'[175]Parts 4 - 6 '!$C$31</f>
        <v>234029.73420000038</v>
      </c>
      <c r="AI115" s="14">
        <f t="shared" si="207"/>
        <v>0.44748589481022116</v>
      </c>
      <c r="AK115" s="14">
        <f t="shared" ref="AK115" si="365">+S115/$D115</f>
        <v>0.94396547358841321</v>
      </c>
      <c r="AL115" s="14">
        <f t="shared" ref="AL115" si="366">+T115/$D115</f>
        <v>3.0372201092232733E-2</v>
      </c>
      <c r="AM115" s="14">
        <f t="shared" ref="AM115" si="367">+U115/$D115</f>
        <v>1.1996869638171613E-2</v>
      </c>
      <c r="AN115" s="14">
        <f t="shared" ref="AN115" si="368">+V115/$D115</f>
        <v>2.711524991690036E-3</v>
      </c>
      <c r="AO115" s="14">
        <f t="shared" ref="AO115" si="369">+W115/$D115</f>
        <v>2.0512823530388518E-3</v>
      </c>
      <c r="AP115" s="14">
        <f t="shared" ref="AP115" si="370">+X115/$D115</f>
        <v>7.1237545900385501E-4</v>
      </c>
      <c r="AQ115" s="14">
        <f t="shared" ref="AQ115" si="371">+Y115/$D115</f>
        <v>7.9277873304904188E-4</v>
      </c>
    </row>
    <row r="116" spans="1:43" ht="14.25" customHeight="1" x14ac:dyDescent="0.25">
      <c r="A116" s="10">
        <f t="shared" si="134"/>
        <v>112</v>
      </c>
      <c r="B116" s="15">
        <f t="shared" si="110"/>
        <v>43905</v>
      </c>
      <c r="C116" s="43">
        <f>'[177]Part 1'!$C$18</f>
        <v>2182</v>
      </c>
      <c r="D116" s="11">
        <f>'[177]Part 1'!$C$22</f>
        <v>40835390.359999999</v>
      </c>
      <c r="E116" s="12">
        <f t="shared" ref="E116" si="372">+D116/D$4</f>
        <v>0.42536852006748077</v>
      </c>
      <c r="F116" s="11">
        <f>'[177]Parts 2 - 3'!$C$49</f>
        <v>120334.35</v>
      </c>
      <c r="M116" s="17">
        <f>IF(F116&gt;0.01,F116,#REF!)/D115</f>
        <v>2.9259434485228346E-3</v>
      </c>
      <c r="N116" s="17">
        <f t="shared" ref="N116" si="373">1-(+M116-1)^12</f>
        <v>3.4551760570972201E-2</v>
      </c>
      <c r="O116" s="20">
        <f t="shared" ref="O116" si="374">AVERAGE(N114:N116)</f>
        <v>4.2017011016182083E-2</v>
      </c>
      <c r="P116" s="20">
        <f t="shared" ref="P116" si="375">AVERAGE(N111:N116)</f>
        <v>4.8842707488107262E-2</v>
      </c>
      <c r="Q116" s="17">
        <f t="shared" ref="Q116" si="376">AVERAGE(N105:N116)</f>
        <v>4.9114932042537453E-2</v>
      </c>
      <c r="R116" s="11">
        <f>'[177]Parts 4 - 6 '!$C$48</f>
        <v>0</v>
      </c>
      <c r="S116" s="18">
        <f>'[177]Parts 7-10'!$C$4</f>
        <v>38285180.299999997</v>
      </c>
      <c r="T116" s="18">
        <f>'[177]Parts 7-10'!$E$4</f>
        <v>1272734.3999999999</v>
      </c>
      <c r="U116" s="18">
        <f>'[177]Parts 7-10'!$F$4</f>
        <v>562718.88</v>
      </c>
      <c r="V116" s="18">
        <f>'[177]Parts 7-10'!$G$4</f>
        <v>263560.15000000002</v>
      </c>
      <c r="W116" s="18">
        <f>'[177]Parts 7-10'!$H$4</f>
        <v>125824.79</v>
      </c>
      <c r="X116" s="18">
        <f>'[177]Parts 7-10'!$J$4</f>
        <v>47517.38</v>
      </c>
      <c r="Y116" s="11">
        <f>'[178]Parts 7-10'!$P$15</f>
        <v>0</v>
      </c>
      <c r="Z116" s="11">
        <f t="shared" si="331"/>
        <v>1215008.2600000002</v>
      </c>
      <c r="AA116" s="14">
        <f t="shared" si="263"/>
        <v>1.265633218807719E-2</v>
      </c>
      <c r="AB116" s="11">
        <f>'[177]Part 11'!$V$8</f>
        <v>22633007.480000038</v>
      </c>
      <c r="AC116" s="14">
        <f t="shared" ref="AC116" si="377">+AB116/AB$4</f>
        <v>0.26195610509259304</v>
      </c>
      <c r="AD116" s="13">
        <f t="shared" ref="AD116" si="378">+AB116*$AD$2</f>
        <v>18860839.5666667</v>
      </c>
      <c r="AE116" s="19">
        <f>'[177]Part 11'!$V$9</f>
        <v>9600000</v>
      </c>
      <c r="AF116" s="12">
        <f t="shared" ref="AF116" si="379">+AE116/$AE$4</f>
        <v>1</v>
      </c>
      <c r="AG116" s="12">
        <f t="shared" si="206"/>
        <v>0.55424981322500178</v>
      </c>
      <c r="AH116" s="11">
        <f>'[177]Parts 4 - 6 '!$C$31</f>
        <v>229571.0244000004</v>
      </c>
      <c r="AI116" s="14">
        <f t="shared" si="207"/>
        <v>0.45137205110336959</v>
      </c>
      <c r="AK116" s="14">
        <f t="shared" ref="AK116" si="380">+S116/$D116</f>
        <v>0.93754902212229019</v>
      </c>
      <c r="AL116" s="14">
        <f t="shared" ref="AL116" si="381">+T116/$D116</f>
        <v>3.1167435618460436E-2</v>
      </c>
      <c r="AM116" s="14">
        <f t="shared" ref="AM116" si="382">+U116/$D116</f>
        <v>1.3780176338199208E-2</v>
      </c>
      <c r="AN116" s="14">
        <f t="shared" ref="AN116" si="383">+V116/$D116</f>
        <v>6.4542091474205279E-3</v>
      </c>
      <c r="AO116" s="14">
        <f t="shared" ref="AO116" si="384">+W116/$D116</f>
        <v>3.0812682061012136E-3</v>
      </c>
      <c r="AP116" s="14">
        <f t="shared" ref="AP116" si="385">+X116/$D116</f>
        <v>1.1636323194438051E-3</v>
      </c>
      <c r="AQ116" s="14">
        <f t="shared" ref="AQ116" si="386">+Y116/$D116</f>
        <v>0</v>
      </c>
    </row>
    <row r="117" spans="1:43" ht="14.25" customHeight="1" x14ac:dyDescent="0.25">
      <c r="A117" s="10">
        <f t="shared" si="134"/>
        <v>113</v>
      </c>
      <c r="B117" s="15">
        <f t="shared" si="110"/>
        <v>43936</v>
      </c>
      <c r="C117" s="43">
        <f>'[179]Part 1'!$C$18</f>
        <v>2178</v>
      </c>
      <c r="D117" s="11">
        <f>'[179]Part 1'!$C$22</f>
        <v>40584375.090000004</v>
      </c>
      <c r="E117" s="12">
        <f t="shared" ref="E117" si="387">+D117/D$4</f>
        <v>0.42275377846778184</v>
      </c>
      <c r="F117" s="11">
        <f>'[179]Parts 2 - 3'!$C$49</f>
        <v>69740.97</v>
      </c>
      <c r="M117" s="17">
        <f>IF(F117&gt;0.01,F117,#REF!)/D116</f>
        <v>1.7078560872118966E-3</v>
      </c>
      <c r="N117" s="17">
        <f t="shared" ref="N117" si="388">1-(+M117-1)^12</f>
        <v>2.0302857781474781E-2</v>
      </c>
      <c r="O117" s="20">
        <f t="shared" ref="O117" si="389">AVERAGE(N115:N117)</f>
        <v>3.74825264199935E-2</v>
      </c>
      <c r="P117" s="20">
        <f t="shared" ref="P117" si="390">AVERAGE(N112:N117)</f>
        <v>4.0370117700397411E-2</v>
      </c>
      <c r="Q117" s="17">
        <f t="shared" ref="Q117" si="391">AVERAGE(N106:N117)</f>
        <v>4.6998269660947063E-2</v>
      </c>
      <c r="R117" s="11">
        <f>'[179]Parts 4 - 6 '!$C$61</f>
        <v>0</v>
      </c>
      <c r="S117" s="18">
        <f>'[179]Parts 7-10'!$C$4</f>
        <v>38534386.780000001</v>
      </c>
      <c r="T117" s="18">
        <f>'[179]Parts 7-10'!$E$4</f>
        <v>1128096.3899999999</v>
      </c>
      <c r="U117" s="18">
        <f>'[179]Parts 7-10'!$F$4</f>
        <v>351094.35</v>
      </c>
      <c r="V117" s="18">
        <f>'[179]Parts 7-10'!$G$4</f>
        <v>138341.66</v>
      </c>
      <c r="W117" s="18">
        <f>'[179]Parts 7-10'!$H$4</f>
        <v>75406.34</v>
      </c>
      <c r="X117" s="18">
        <f>'[179]Parts 7-10'!$J$4</f>
        <v>71248.41</v>
      </c>
      <c r="Y117" s="11">
        <f>'[180]Parts 7-10'!$P$15</f>
        <v>22389</v>
      </c>
      <c r="Z117" s="11">
        <f t="shared" si="331"/>
        <v>1237397.2600000002</v>
      </c>
      <c r="AA117" s="14">
        <f t="shared" si="263"/>
        <v>1.2889550867066961E-2</v>
      </c>
      <c r="AB117" s="11">
        <f>'[179]Part 11'!$V$8</f>
        <v>22282460.140000038</v>
      </c>
      <c r="AC117" s="14">
        <f t="shared" ref="AC117" si="392">+AB117/AB$4</f>
        <v>0.25789884421296339</v>
      </c>
      <c r="AD117" s="13">
        <f t="shared" ref="AD117" si="393">+AB117*$AD$2</f>
        <v>18568716.783333365</v>
      </c>
      <c r="AE117" s="19">
        <f>'[179]Part 11'!$V$9</f>
        <v>9600000</v>
      </c>
      <c r="AF117" s="12">
        <f t="shared" ref="AF117" si="394">+AE117/$AE$4</f>
        <v>1</v>
      </c>
      <c r="AG117" s="12">
        <f t="shared" si="206"/>
        <v>0.54904036567241465</v>
      </c>
      <c r="AH117" s="11">
        <f>'[179]Parts 4 - 6 '!$C$44</f>
        <v>226330.07480000038</v>
      </c>
      <c r="AI117" s="14">
        <f t="shared" si="207"/>
        <v>0.45653641293506891</v>
      </c>
      <c r="AK117" s="14">
        <f t="shared" ref="AK117" si="395">+S117/$D117</f>
        <v>0.94948823764185242</v>
      </c>
      <c r="AL117" s="14">
        <f t="shared" ref="AL117" si="396">+T117/$D117</f>
        <v>2.7796322784281655E-2</v>
      </c>
      <c r="AM117" s="14">
        <f t="shared" ref="AM117" si="397">+U117/$D117</f>
        <v>8.6509734157890154E-3</v>
      </c>
      <c r="AN117" s="14">
        <f t="shared" ref="AN117" si="398">+V117/$D117</f>
        <v>3.4087419035826773E-3</v>
      </c>
      <c r="AO117" s="14">
        <f t="shared" ref="AO117" si="399">+W117/$D117</f>
        <v>1.8580140714937392E-3</v>
      </c>
      <c r="AP117" s="14">
        <f t="shared" ref="AP117" si="400">+X117/$D117</f>
        <v>1.7555625740694385E-3</v>
      </c>
      <c r="AQ117" s="14">
        <f t="shared" ref="AQ117" si="401">+Y117/$D117</f>
        <v>5.5166551044213692E-4</v>
      </c>
    </row>
    <row r="118" spans="1:43" ht="14.25" customHeight="1" x14ac:dyDescent="0.25">
      <c r="A118" s="10">
        <f t="shared" si="134"/>
        <v>114</v>
      </c>
      <c r="B118" s="15">
        <f t="shared" si="110"/>
        <v>43966</v>
      </c>
      <c r="C118" s="43">
        <f>'[181]Part 1'!$C$18</f>
        <v>2177</v>
      </c>
      <c r="D118" s="11">
        <f>'[182]Part 1'!$C$22</f>
        <v>40274323.990000002</v>
      </c>
      <c r="E118" s="12">
        <f t="shared" ref="E118" si="402">+D118/D$4</f>
        <v>0.41952408049282425</v>
      </c>
      <c r="F118" s="11">
        <f>'[182]Parts 2 - 3'!$C$49</f>
        <v>0.6</v>
      </c>
      <c r="M118" s="17">
        <f>IF(F118&gt;0.01,F118,#REF!)/D117</f>
        <v>1.4784014751229719E-8</v>
      </c>
      <c r="N118" s="17">
        <f t="shared" ref="N118" si="403">1-(+M118-1)^12</f>
        <v>1.7740816304900875E-7</v>
      </c>
      <c r="O118" s="20">
        <f t="shared" ref="O118" si="404">AVERAGE(N116:N118)</f>
        <v>1.8284931920203345E-2</v>
      </c>
      <c r="P118" s="20">
        <f t="shared" ref="P118" si="405">AVERAGE(N113:N118)</f>
        <v>2.950296825117869E-2</v>
      </c>
      <c r="Q118" s="17">
        <f t="shared" ref="Q118" si="406">AVERAGE(N107:N118)</f>
        <v>4.0798834188351805E-2</v>
      </c>
      <c r="R118" s="11">
        <f>'[182]Parts 4 - 6 '!$C$61</f>
        <v>0</v>
      </c>
      <c r="S118" s="18">
        <f>'[181]Parts 7-10'!$C$4</f>
        <v>38450084.740000002</v>
      </c>
      <c r="T118" s="18">
        <f>'[182]Parts 7-10'!$E$4</f>
        <v>1026271.48</v>
      </c>
      <c r="U118" s="18">
        <f>'[182]Parts 7-10'!$F$4</f>
        <v>284616.01</v>
      </c>
      <c r="V118" s="18">
        <f>'[182]Parts 7-10'!$G$4</f>
        <v>170569.59</v>
      </c>
      <c r="W118" s="18">
        <f>'[182]Parts 7-10'!$H$4</f>
        <v>70995.09</v>
      </c>
      <c r="X118" s="18">
        <f>'[182]Parts 7-10'!$J$4</f>
        <v>52396.17</v>
      </c>
      <c r="Y118" s="11">
        <f>'[183]Parts 7-10'!$P$15</f>
        <v>50074.06</v>
      </c>
      <c r="Z118" s="11">
        <f t="shared" si="331"/>
        <v>1287471.3200000003</v>
      </c>
      <c r="AA118" s="14">
        <f t="shared" si="263"/>
        <v>1.3411155499915886E-2</v>
      </c>
      <c r="AB118" s="11">
        <f>'[182]Part 11'!$V$8</f>
        <v>21794613.820000038</v>
      </c>
      <c r="AC118" s="14">
        <f t="shared" ref="AC118" si="407">+AB118/AB$4</f>
        <v>0.25225247476851897</v>
      </c>
      <c r="AD118" s="13">
        <f t="shared" ref="AD118" si="408">+AB118*$AD$2</f>
        <v>18162178.183333367</v>
      </c>
      <c r="AE118" s="19">
        <f>'[182]Part 11'!$V$9</f>
        <v>9600000</v>
      </c>
      <c r="AF118" s="12">
        <f t="shared" ref="AF118" si="409">+AE118/$AE$4</f>
        <v>1</v>
      </c>
      <c r="AG118" s="12">
        <f t="shared" si="206"/>
        <v>0.54115405699699826</v>
      </c>
      <c r="AH118" s="11">
        <f>'[182]Parts 4 - 6 '!$C$44</f>
        <v>222824.60140000039</v>
      </c>
      <c r="AI118" s="14">
        <f t="shared" si="207"/>
        <v>0.46437861442550227</v>
      </c>
      <c r="AK118" s="14">
        <f t="shared" ref="AK118" si="410">+S118/$D118</f>
        <v>0.95470465871871735</v>
      </c>
      <c r="AL118" s="14">
        <f t="shared" ref="AL118" si="411">+T118/$D118</f>
        <v>2.5482028705306643E-2</v>
      </c>
      <c r="AM118" s="14">
        <f t="shared" ref="AM118" si="412">+U118/$D118</f>
        <v>7.0669345082159376E-3</v>
      </c>
      <c r="AN118" s="14">
        <f t="shared" ref="AN118" si="413">+V118/$D118</f>
        <v>4.2351943645870241E-3</v>
      </c>
      <c r="AO118" s="14">
        <f t="shared" ref="AO118" si="414">+W118/$D118</f>
        <v>1.7627878749157371E-3</v>
      </c>
      <c r="AP118" s="14">
        <f t="shared" ref="AP118" si="415">+X118/$D118</f>
        <v>1.3009819857686454E-3</v>
      </c>
      <c r="AQ118" s="14">
        <f t="shared" ref="AQ118" si="416">+Y118/$D118</f>
        <v>1.2433246554910081E-3</v>
      </c>
    </row>
    <row r="119" spans="1:43" ht="14.25" customHeight="1" x14ac:dyDescent="0.25">
      <c r="A119" s="10">
        <f t="shared" si="134"/>
        <v>115</v>
      </c>
      <c r="B119" s="15">
        <f t="shared" si="110"/>
        <v>43997</v>
      </c>
      <c r="C119" s="43">
        <f>'[184]Part 1'!$C$18</f>
        <v>2175</v>
      </c>
      <c r="D119" s="11">
        <f>'[185]Part 1'!$C$22</f>
        <v>40274323.990000002</v>
      </c>
      <c r="E119" s="12">
        <f t="shared" ref="E119" si="417">+D119/D$4</f>
        <v>0.41952408049282425</v>
      </c>
      <c r="F119" s="11">
        <f>'[185]Parts 2 - 3'!$C$49</f>
        <v>7104.1</v>
      </c>
      <c r="M119" s="17">
        <f>IF(F119&gt;0.01,F119,#REF!)/D118</f>
        <v>1.7639278071467885E-4</v>
      </c>
      <c r="N119" s="17">
        <f t="shared" ref="N119" si="418">1-(+M119-1)^12</f>
        <v>2.1146610242723796E-3</v>
      </c>
      <c r="O119" s="20">
        <f t="shared" ref="O119" si="419">AVERAGE(N117:N119)</f>
        <v>7.4725654046367369E-3</v>
      </c>
      <c r="P119" s="20">
        <f t="shared" ref="P119" si="420">AVERAGE(N114:N119)</f>
        <v>2.4744788210409412E-2</v>
      </c>
      <c r="Q119" s="17">
        <f t="shared" ref="Q119" si="421">AVERAGE(N108:N119)</f>
        <v>3.4644659640462823E-2</v>
      </c>
      <c r="R119" s="11">
        <f>'[185]Parts 4 - 6 '!$C$61</f>
        <v>0</v>
      </c>
      <c r="S119" s="18">
        <f>'[184]Parts 7-10'!$C$4</f>
        <v>38314031.089999996</v>
      </c>
      <c r="T119" s="18">
        <f>'[185]Parts 7-10'!$E$4</f>
        <v>1026271.48</v>
      </c>
      <c r="U119" s="18">
        <f>'[185]Parts 7-10'!$F$4</f>
        <v>284616.01</v>
      </c>
      <c r="V119" s="18">
        <f>'[185]Parts 7-10'!$G$4</f>
        <v>170569.59</v>
      </c>
      <c r="W119" s="18">
        <f>'[185]Parts 7-10'!$H$4</f>
        <v>70995.09</v>
      </c>
      <c r="X119" s="18">
        <f>'[185]Parts 7-10'!$J$4</f>
        <v>52396.17</v>
      </c>
      <c r="Y119" s="11">
        <f>'[186]Parts 7-10'!$P$15</f>
        <v>19569.34</v>
      </c>
      <c r="Z119" s="11">
        <f t="shared" ref="Z119" si="422">+Z118+Y119</f>
        <v>1307040.6600000004</v>
      </c>
      <c r="AA119" s="14">
        <f t="shared" si="263"/>
        <v>1.3615002729515319E-2</v>
      </c>
      <c r="AB119" s="11">
        <f>'[185]Part 11'!$V$8</f>
        <v>21794613.820000038</v>
      </c>
      <c r="AC119" s="14">
        <f t="shared" ref="AC119" si="423">+AB119/AB$4</f>
        <v>0.25225247476851897</v>
      </c>
      <c r="AD119" s="13">
        <f t="shared" ref="AD119" si="424">+AB119*$AD$2</f>
        <v>18162178.183333367</v>
      </c>
      <c r="AE119" s="19">
        <f>'[185]Part 11'!$V$9</f>
        <v>9600000</v>
      </c>
      <c r="AF119" s="12">
        <f t="shared" ref="AF119" si="425">+AE119/$AE$4</f>
        <v>1</v>
      </c>
      <c r="AG119" s="12">
        <f t="shared" si="206"/>
        <v>0.54115405699699826</v>
      </c>
      <c r="AH119" s="11">
        <f>'[185]Parts 4 - 6 '!$C$44</f>
        <v>220491.37000000037</v>
      </c>
      <c r="AI119" s="14">
        <f t="shared" si="207"/>
        <v>0.4643206809540284</v>
      </c>
      <c r="AK119" s="14">
        <f t="shared" ref="AK119" si="426">+S119/$D119</f>
        <v>0.95132648531886621</v>
      </c>
      <c r="AL119" s="14">
        <f t="shared" ref="AL119" si="427">+T119/$D119</f>
        <v>2.5482028705306643E-2</v>
      </c>
      <c r="AM119" s="14">
        <f t="shared" ref="AM119" si="428">+U119/$D119</f>
        <v>7.0669345082159376E-3</v>
      </c>
      <c r="AN119" s="14">
        <f t="shared" ref="AN119" si="429">+V119/$D119</f>
        <v>4.2351943645870241E-3</v>
      </c>
      <c r="AO119" s="14">
        <f t="shared" ref="AO119" si="430">+W119/$D119</f>
        <v>1.7627878749157371E-3</v>
      </c>
      <c r="AP119" s="14">
        <f t="shared" ref="AP119" si="431">+X119/$D119</f>
        <v>1.3009819857686454E-3</v>
      </c>
      <c r="AQ119" s="14">
        <f t="shared" ref="AQ119" si="432">+Y119/$D119</f>
        <v>4.85901141502934E-4</v>
      </c>
    </row>
    <row r="120" spans="1:43" ht="14.25" customHeight="1" x14ac:dyDescent="0.25">
      <c r="A120" s="10">
        <f t="shared" si="134"/>
        <v>116</v>
      </c>
      <c r="B120" s="15">
        <f t="shared" si="110"/>
        <v>44027</v>
      </c>
      <c r="C120" s="43">
        <f>'[187]Part 1'!$C$18</f>
        <v>2169</v>
      </c>
      <c r="D120" s="11">
        <f>'[188]Part 1'!$C$22</f>
        <v>39919368.770000003</v>
      </c>
      <c r="E120" s="12">
        <f t="shared" ref="E120" si="433">+D120/D$4</f>
        <v>0.41582663141028714</v>
      </c>
      <c r="F120" s="11">
        <f>'[188]Parts 2 - 3'!$C$49</f>
        <v>55.09</v>
      </c>
      <c r="M120" s="17">
        <f>IF(F120&gt;0.01,F120,#REF!)/D119</f>
        <v>1.367869017830782E-6</v>
      </c>
      <c r="N120" s="17">
        <f t="shared" ref="N120" si="434">1-(+M120-1)^12</f>
        <v>1.6414304724321482E-5</v>
      </c>
      <c r="O120" s="20">
        <f t="shared" ref="O120" si="435">AVERAGE(N118:N120)</f>
        <v>7.1041757905324998E-4</v>
      </c>
      <c r="P120" s="20">
        <f t="shared" ref="P120" si="436">AVERAGE(N115:N120)</f>
        <v>1.9096471999523374E-2</v>
      </c>
      <c r="Q120" s="17">
        <f t="shared" ref="Q120" si="437">AVERAGE(N109:N120)</f>
        <v>3.0387357888633077E-2</v>
      </c>
      <c r="R120" s="11">
        <f>'[188]Parts 4 - 6 '!$C$61</f>
        <v>0</v>
      </c>
      <c r="S120" s="18">
        <f>'[187]Parts 7-10'!$C$4</f>
        <v>37988833.380000003</v>
      </c>
      <c r="T120" s="18">
        <f>'[188]Parts 7-10'!$E$4</f>
        <v>981893.55</v>
      </c>
      <c r="U120" s="18">
        <f>'[188]Parts 7-10'!$F$4</f>
        <v>342643.95</v>
      </c>
      <c r="V120" s="18">
        <f>'[189]Parts 7-10'!$G$4</f>
        <v>121223.42</v>
      </c>
      <c r="W120" s="18">
        <f>'[188]Parts 7-10'!$H$4</f>
        <v>144557.29</v>
      </c>
      <c r="X120" s="18">
        <f>'[188]Parts 7-10'!$J$4</f>
        <v>62942.18</v>
      </c>
      <c r="Y120" s="11">
        <f>'[190]Parts 7-10'!$P$15</f>
        <v>0</v>
      </c>
      <c r="Z120" s="11">
        <f t="shared" ref="Z120" si="438">+Z119+Y120</f>
        <v>1307040.6600000004</v>
      </c>
      <c r="AA120" s="14">
        <f t="shared" si="263"/>
        <v>1.3615002729515319E-2</v>
      </c>
      <c r="AB120" s="11">
        <f>'[188]Part 11'!$V$8</f>
        <v>21290580.780000035</v>
      </c>
      <c r="AC120" s="14">
        <f t="shared" ref="AC120" si="439">+AB120/AB$4</f>
        <v>0.24641875902777818</v>
      </c>
      <c r="AD120" s="13">
        <f t="shared" ref="AD120" si="440">+AB120*$AD$2</f>
        <v>17742150.650000028</v>
      </c>
      <c r="AE120" s="19">
        <f>'[188]Part 11'!$V$9</f>
        <v>9600000</v>
      </c>
      <c r="AF120" s="12">
        <f t="shared" ref="AF120" si="441">+AE120/$AE$4</f>
        <v>1</v>
      </c>
      <c r="AG120" s="12">
        <f t="shared" si="206"/>
        <v>0.53333961522959306</v>
      </c>
      <c r="AH120" s="11">
        <f>'[188]Parts 4 - 6 '!$C$44</f>
        <v>215750.23170000035</v>
      </c>
      <c r="AI120" s="14">
        <f t="shared" si="207"/>
        <v>0.47206503515310899</v>
      </c>
      <c r="AK120" s="14">
        <f t="shared" ref="AK120" si="442">+S120/$D120</f>
        <v>0.9516391303398859</v>
      </c>
      <c r="AL120" s="14">
        <f t="shared" ref="AL120" si="443">+T120/$D120</f>
        <v>2.4596920749355825E-2</v>
      </c>
      <c r="AM120" s="14">
        <f t="shared" ref="AM120" si="444">+U120/$D120</f>
        <v>8.5834010045144297E-3</v>
      </c>
      <c r="AN120" s="14">
        <f t="shared" ref="AN120" si="445">+V120/$D120</f>
        <v>3.0367068351817524E-3</v>
      </c>
      <c r="AO120" s="14">
        <f t="shared" ref="AO120" si="446">+W120/$D120</f>
        <v>3.6212318594736137E-3</v>
      </c>
      <c r="AP120" s="14">
        <f t="shared" ref="AP120" si="447">+X120/$D120</f>
        <v>1.5767328477223313E-3</v>
      </c>
      <c r="AQ120" s="14">
        <f t="shared" ref="AQ120" si="448">+Y120/$D120</f>
        <v>0</v>
      </c>
    </row>
    <row r="121" spans="1:43" ht="14.25" customHeight="1" x14ac:dyDescent="0.25">
      <c r="A121" s="10">
        <f t="shared" si="134"/>
        <v>117</v>
      </c>
      <c r="B121" s="15">
        <f t="shared" si="110"/>
        <v>44058</v>
      </c>
      <c r="C121" s="43">
        <f>'[191]Part 1'!$C$18</f>
        <v>2163</v>
      </c>
      <c r="D121" s="11">
        <f>'[192]Part 1'!$C$22</f>
        <v>39919368.770000003</v>
      </c>
      <c r="E121" s="12">
        <f t="shared" ref="E121" si="449">+D121/D$4</f>
        <v>0.41582663141028714</v>
      </c>
      <c r="F121" s="11">
        <f>'[192]Parts 2 - 3'!$C$49</f>
        <v>81799.86</v>
      </c>
      <c r="M121" s="17">
        <f>IF(F121&gt;0.01,F121,#REF!)/D120</f>
        <v>2.0491270909442287E-3</v>
      </c>
      <c r="N121" s="17">
        <f t="shared" ref="N121" si="450">1-(+M121-1)^12</f>
        <v>2.4314280458845094E-2</v>
      </c>
      <c r="O121" s="20">
        <f t="shared" ref="O121" si="451">AVERAGE(N119:N121)</f>
        <v>8.8151185959472658E-3</v>
      </c>
      <c r="P121" s="20">
        <f t="shared" ref="P121" si="452">AVERAGE(N116:N121)</f>
        <v>1.3550025258075304E-2</v>
      </c>
      <c r="Q121" s="17">
        <f t="shared" ref="Q121" si="453">AVERAGE(N110:N121)</f>
        <v>2.9712235096327876E-2</v>
      </c>
      <c r="R121" s="11">
        <f>'[192]Parts 4 - 6 '!$C$61</f>
        <v>0</v>
      </c>
      <c r="S121" s="18">
        <f>'[191]Parts 7-10'!$C$4</f>
        <v>37423895.359999999</v>
      </c>
      <c r="T121" s="18">
        <f>'[192]Parts 7-10'!$E$4</f>
        <v>981893.55</v>
      </c>
      <c r="U121" s="18">
        <f>'[193]Parts 7-10'!$F$4</f>
        <v>389208.08</v>
      </c>
      <c r="V121" s="18">
        <f>'[193]Parts 7-10'!$G$4</f>
        <v>39075.230000000003</v>
      </c>
      <c r="W121" s="18">
        <f>'[193]Parts 7-10'!$H$4</f>
        <v>94161.35</v>
      </c>
      <c r="X121" s="18">
        <f>'[193]Parts 7-10'!$J$4</f>
        <v>116350.82</v>
      </c>
      <c r="Y121" s="11">
        <f>'[194]Parts 7-10'!$P$15</f>
        <v>19112.12</v>
      </c>
      <c r="Z121" s="11">
        <f t="shared" ref="Z121" si="454">+Z120+Y121</f>
        <v>1326152.7800000005</v>
      </c>
      <c r="AA121" s="14">
        <f t="shared" si="263"/>
        <v>1.3814087252231563E-2</v>
      </c>
      <c r="AB121" s="11">
        <f>'[193]Part 11'!$V$8</f>
        <v>20970924.200000037</v>
      </c>
      <c r="AC121" s="14">
        <f t="shared" ref="AC121" si="455">+AB121/AB$4</f>
        <v>0.24271903009259302</v>
      </c>
      <c r="AD121" s="13">
        <f t="shared" ref="AD121" si="456">+AB121*$AD$2</f>
        <v>17475770.166666698</v>
      </c>
      <c r="AE121" s="19">
        <f>'[193]Part 11'!$V$9</f>
        <v>9600000</v>
      </c>
      <c r="AF121" s="12">
        <f t="shared" ref="AF121" si="457">+AE121/$AE$4</f>
        <v>1</v>
      </c>
      <c r="AG121" s="12">
        <f t="shared" si="206"/>
        <v>0.52533205925239967</v>
      </c>
      <c r="AH121" s="11">
        <f>'[193]Parts 4 - 6 '!$C$44</f>
        <v>212905.80780000036</v>
      </c>
      <c r="AI121" s="14">
        <f t="shared" si="207"/>
        <v>0.48000133689989627</v>
      </c>
      <c r="AK121" s="14">
        <f t="shared" ref="AK121" si="458">+S121/$D121</f>
        <v>0.93748715255549353</v>
      </c>
      <c r="AL121" s="14">
        <f t="shared" ref="AL121" si="459">+T121/$D121</f>
        <v>2.4596920749355825E-2</v>
      </c>
      <c r="AM121" s="14">
        <f t="shared" ref="AM121" si="460">+U121/$D121</f>
        <v>9.7498555711756554E-3</v>
      </c>
      <c r="AN121" s="14">
        <f t="shared" ref="AN121" si="461">+V121/$D121</f>
        <v>9.7885390485847614E-4</v>
      </c>
      <c r="AO121" s="14">
        <f t="shared" ref="AO121" si="462">+W121/$D121</f>
        <v>2.3587885505535261E-3</v>
      </c>
      <c r="AP121" s="14">
        <f t="shared" ref="AP121" si="463">+X121/$D121</f>
        <v>2.9146457868702417E-3</v>
      </c>
      <c r="AQ121" s="14">
        <f t="shared" ref="AQ121" si="464">+Y121/$D121</f>
        <v>4.7876809150256504E-4</v>
      </c>
    </row>
    <row r="122" spans="1:43" ht="14.25" customHeight="1" x14ac:dyDescent="0.25">
      <c r="A122" s="10">
        <f t="shared" si="134"/>
        <v>118</v>
      </c>
      <c r="B122" s="15">
        <f t="shared" si="110"/>
        <v>44089</v>
      </c>
      <c r="C122" s="43">
        <f>'[195]Part 1'!$C$18</f>
        <v>2158</v>
      </c>
      <c r="D122" s="11">
        <f>'[196]Part 1'!$C$22</f>
        <v>39659139.659999996</v>
      </c>
      <c r="E122" s="12">
        <f t="shared" ref="E122" si="465">+D122/D$4</f>
        <v>0.41311591233981121</v>
      </c>
      <c r="F122" s="11">
        <f>'[196]Parts 2 - 3'!$C$49</f>
        <v>46882.96</v>
      </c>
      <c r="M122" s="17">
        <f>IF(F122&gt;0.01,F122,#REF!)/D121</f>
        <v>1.1744414163991801E-3</v>
      </c>
      <c r="N122" s="17">
        <f t="shared" ref="N122" si="466">1-(+M122-1)^12</f>
        <v>1.4002617805358386E-2</v>
      </c>
      <c r="O122" s="20">
        <f t="shared" ref="O122" si="467">AVERAGE(N120:N122)</f>
        <v>1.2777770856309267E-2</v>
      </c>
      <c r="P122" s="20">
        <f t="shared" ref="P122" si="468">AVERAGE(N117:N122)</f>
        <v>1.0125168130473003E-2</v>
      </c>
      <c r="Q122" s="17">
        <f t="shared" ref="Q122" si="469">AVERAGE(N111:N122)</f>
        <v>2.9483937809290133E-2</v>
      </c>
      <c r="R122" s="11">
        <f>'[196]Parts 4 - 6 '!$C$61</f>
        <v>0</v>
      </c>
      <c r="S122" s="18">
        <f>'[195]Parts 7-10'!$C$4</f>
        <v>36497168.199999996</v>
      </c>
      <c r="T122" s="18">
        <f>'[196]Parts 7-10'!$E$4</f>
        <v>1224507.6599999999</v>
      </c>
      <c r="U122" s="18">
        <f>'[196]Parts 7-10'!$F$4</f>
        <v>389208.08</v>
      </c>
      <c r="V122" s="18">
        <f>'[196]Parts 7-10'!$G$4</f>
        <v>39075.230000000003</v>
      </c>
      <c r="W122" s="18">
        <f>'[196]Parts 7-10'!$H$4</f>
        <v>94161.35</v>
      </c>
      <c r="X122" s="18">
        <f>'[196]Parts 7-10'!$J$4</f>
        <v>116350.82</v>
      </c>
      <c r="Y122" s="11">
        <f>'[197]Parts 7-10'!$P$15</f>
        <v>23371.5</v>
      </c>
      <c r="Z122" s="11">
        <f t="shared" ref="Z122" si="470">+Z121+Y122</f>
        <v>1349524.2800000005</v>
      </c>
      <c r="AA122" s="14">
        <f t="shared" si="263"/>
        <v>1.405754030310518E-2</v>
      </c>
      <c r="AB122" s="11">
        <f>'[196]Part 11'!$V$8</f>
        <v>20970924.200000037</v>
      </c>
      <c r="AC122" s="14">
        <f t="shared" ref="AC122" si="471">+AB122/AB$4</f>
        <v>0.24271903009259302</v>
      </c>
      <c r="AD122" s="13">
        <f t="shared" ref="AD122" si="472">+AB122*$AD$2</f>
        <v>17475770.166666698</v>
      </c>
      <c r="AE122" s="19">
        <f>'[196]Part 11'!$V$9</f>
        <v>9600000</v>
      </c>
      <c r="AF122" s="12">
        <f t="shared" ref="AF122" si="473">+AE122/$AE$4</f>
        <v>1</v>
      </c>
      <c r="AG122" s="12">
        <f t="shared" si="206"/>
        <v>0.52877910060038957</v>
      </c>
      <c r="AH122" s="11">
        <f>'[196]Parts 4 - 6 '!$C$44</f>
        <v>212905.80780000036</v>
      </c>
      <c r="AI122" s="14">
        <f t="shared" si="207"/>
        <v>0.47658929139261019</v>
      </c>
      <c r="AK122" s="14">
        <f t="shared" ref="AK122" si="474">+S122/$D122</f>
        <v>0.92027130474569652</v>
      </c>
      <c r="AL122" s="14">
        <f t="shared" ref="AL122" si="475">+T122/$D122</f>
        <v>3.0875799891217307E-2</v>
      </c>
      <c r="AM122" s="14">
        <f t="shared" ref="AM122" si="476">+U122/$D122</f>
        <v>9.8138306412267756E-3</v>
      </c>
      <c r="AN122" s="14">
        <f t="shared" ref="AN122" si="477">+V122/$D122</f>
        <v>9.8527679457986522E-4</v>
      </c>
      <c r="AO122" s="14">
        <f t="shared" ref="AO122" si="478">+W122/$D122</f>
        <v>2.3742660785697946E-3</v>
      </c>
      <c r="AP122" s="14">
        <f t="shared" ref="AP122" si="479">+X122/$D122</f>
        <v>2.9337706515441845E-3</v>
      </c>
      <c r="AQ122" s="14">
        <f t="shared" ref="AQ122" si="480">+Y122/$D122</f>
        <v>5.8930930424525507E-4</v>
      </c>
    </row>
    <row r="123" spans="1:43" ht="14.25" customHeight="1" x14ac:dyDescent="0.25">
      <c r="A123" s="10">
        <f t="shared" si="134"/>
        <v>119</v>
      </c>
      <c r="B123" s="15">
        <f t="shared" si="110"/>
        <v>44119</v>
      </c>
      <c r="C123" s="43">
        <f>'[198]Part 1'!$C$18</f>
        <v>2149</v>
      </c>
      <c r="D123" s="11">
        <f>'[199]Part 1'!$C$22</f>
        <v>39422221.649999999</v>
      </c>
      <c r="E123" s="12">
        <f t="shared" ref="E123" si="481">+D123/D$4</f>
        <v>0.41064801715373389</v>
      </c>
      <c r="F123" s="11">
        <f>'[199]Parts 2 - 3'!$C$49</f>
        <v>39659.599999999999</v>
      </c>
      <c r="M123" s="17">
        <f>IF(F123&gt;0.01,F123,#REF!)/D122</f>
        <v>1.0000116074126658E-3</v>
      </c>
      <c r="N123" s="17">
        <f t="shared" ref="N123" si="482">1-(+M123-1)^12</f>
        <v>1.1934357270193874E-2</v>
      </c>
      <c r="O123" s="20">
        <f t="shared" ref="O123" si="483">AVERAGE(N121:N123)</f>
        <v>1.6750418511465786E-2</v>
      </c>
      <c r="P123" s="20">
        <f t="shared" ref="P123" si="484">AVERAGE(N118:N123)</f>
        <v>8.7304180452595168E-3</v>
      </c>
      <c r="Q123" s="17">
        <f t="shared" ref="Q123" si="485">AVERAGE(N112:N123)</f>
        <v>2.4550267872828463E-2</v>
      </c>
      <c r="R123" s="11">
        <f>'[199]Parts 4 - 6 '!$C$61</f>
        <v>0</v>
      </c>
      <c r="S123" s="18">
        <f>'[198]Parts 7-10'!$C$4</f>
        <v>36113416.559999995</v>
      </c>
      <c r="T123" s="18">
        <f>'[199]Parts 7-10'!$E$4</f>
        <v>1486836.68</v>
      </c>
      <c r="U123" s="18">
        <f>'[199]Parts 7-10'!$F$4</f>
        <v>676322.23</v>
      </c>
      <c r="V123" s="18">
        <f>'[199]Parts 7-10'!$G$4</f>
        <v>190489.18</v>
      </c>
      <c r="W123" s="18">
        <f>'[199]Parts 7-10'!$H$4</f>
        <v>114180.05</v>
      </c>
      <c r="X123" s="18">
        <f>'[199]Parts 7-10'!$J$4</f>
        <v>49727.63</v>
      </c>
      <c r="Y123" s="11">
        <f>'[200]Parts 7-10'!$P$15</f>
        <v>49350.750000000007</v>
      </c>
      <c r="Z123" s="11">
        <f t="shared" ref="Z123" si="486">+Z122+Y123</f>
        <v>1398875.0300000005</v>
      </c>
      <c r="AA123" s="14">
        <f t="shared" si="263"/>
        <v>1.4571610459081528E-2</v>
      </c>
      <c r="AB123" s="11">
        <f>'[199]Part 11'!$V$8</f>
        <v>20681504.710000034</v>
      </c>
      <c r="AC123" s="14">
        <f t="shared" ref="AC123" si="487">+AB123/AB$4</f>
        <v>0.23936926747685225</v>
      </c>
      <c r="AD123" s="13">
        <f t="shared" ref="AD123" si="488">+AB123*$AD$2</f>
        <v>17234587.258333363</v>
      </c>
      <c r="AE123" s="19">
        <f>'[199]Part 11'!$V$9</f>
        <v>9600000</v>
      </c>
      <c r="AF123" s="12">
        <f t="shared" ref="AF123" si="489">+AE123/$AE$4</f>
        <v>1</v>
      </c>
      <c r="AG123" s="12">
        <f t="shared" si="206"/>
        <v>0.52461540330262024</v>
      </c>
      <c r="AH123" s="11">
        <f>'[199]Parts 4 - 6 '!$C$44</f>
        <v>209709.24200000032</v>
      </c>
      <c r="AI123" s="14">
        <f t="shared" si="207"/>
        <v>0.48070416604742428</v>
      </c>
      <c r="AK123" s="14">
        <f t="shared" ref="AK123" si="490">+S123/$D123</f>
        <v>0.91606751340966086</v>
      </c>
      <c r="AL123" s="14">
        <f t="shared" ref="AL123" si="491">+T123/$D123</f>
        <v>3.7715699871014245E-2</v>
      </c>
      <c r="AM123" s="14">
        <f t="shared" ref="AM123" si="492">+U123/$D123</f>
        <v>1.7155862904038033E-2</v>
      </c>
      <c r="AN123" s="14">
        <f t="shared" ref="AN123" si="493">+V123/$D123</f>
        <v>4.8320254929113057E-3</v>
      </c>
      <c r="AO123" s="14">
        <f t="shared" ref="AO123" si="494">+W123/$D123</f>
        <v>2.8963372742844898E-3</v>
      </c>
      <c r="AP123" s="14">
        <f t="shared" ref="AP123" si="495">+X123/$D123</f>
        <v>1.2614111513423547E-3</v>
      </c>
      <c r="AQ123" s="14">
        <f t="shared" ref="AQ123" si="496">+Y123/$D123</f>
        <v>1.2518510610119308E-3</v>
      </c>
    </row>
    <row r="124" spans="1:43" ht="14.25" customHeight="1" x14ac:dyDescent="0.25">
      <c r="A124" s="10">
        <f t="shared" si="134"/>
        <v>120</v>
      </c>
      <c r="B124" s="15">
        <f t="shared" si="110"/>
        <v>44150</v>
      </c>
      <c r="C124" s="43">
        <f>'[201]Part 1'!$C$18</f>
        <v>2149</v>
      </c>
      <c r="D124" s="11">
        <f>'[202]Part 1'!$C$22</f>
        <v>39169529.060000002</v>
      </c>
      <c r="E124" s="12">
        <f t="shared" ref="E124" si="497">+D124/D$4</f>
        <v>0.40801580347602151</v>
      </c>
      <c r="F124" s="11">
        <f>'[202]Parts 2 - 3'!$C$49</f>
        <v>92233.52</v>
      </c>
      <c r="M124" s="17">
        <f>IF(F124&gt;0.01,F124,#REF!)/D123</f>
        <v>2.3396327284360445E-3</v>
      </c>
      <c r="N124" s="17">
        <f t="shared" ref="N124" si="498">1-(+M124-1)^12</f>
        <v>2.7717119310477045E-2</v>
      </c>
      <c r="O124" s="20">
        <f t="shared" ref="O124" si="499">AVERAGE(N122:N124)</f>
        <v>1.7884698128676435E-2</v>
      </c>
      <c r="P124" s="20">
        <f t="shared" ref="P124" si="500">AVERAGE(N119:N124)</f>
        <v>1.334990836231185E-2</v>
      </c>
      <c r="Q124" s="17">
        <f t="shared" ref="Q124" si="501">AVERAGE(N113:N124)</f>
        <v>2.1426438306745271E-2</v>
      </c>
      <c r="R124" s="11">
        <f>'[202]Parts 4 - 6 '!$C$61</f>
        <v>0</v>
      </c>
      <c r="S124" s="18">
        <f>'[201]Parts 7-10'!$C$4</f>
        <v>36113416.559999995</v>
      </c>
      <c r="T124" s="18">
        <f>'[202]Parts 7-10'!$E$4</f>
        <v>1573847.32</v>
      </c>
      <c r="U124" s="18">
        <f>'[202]Parts 7-10'!$F$4</f>
        <v>723015.81</v>
      </c>
      <c r="V124" s="18">
        <f>'[202]Parts 7-10'!$G$4</f>
        <v>207938.53</v>
      </c>
      <c r="W124" s="18">
        <f>'[202]Parts 7-10'!$H$4</f>
        <v>108921.35</v>
      </c>
      <c r="X124" s="18">
        <f>'[202]Parts 7-10'!$J$4</f>
        <v>42994.93</v>
      </c>
      <c r="Y124" s="11">
        <f>'[203]Parts 7-10'!$P$15</f>
        <v>11466.22</v>
      </c>
      <c r="Z124" s="11">
        <f t="shared" ref="Z124" si="502">+Z123+Y124</f>
        <v>1410341.2500000005</v>
      </c>
      <c r="AA124" s="14">
        <f t="shared" si="263"/>
        <v>1.4691050214381277E-2</v>
      </c>
      <c r="AB124" s="11">
        <f>'[202]Part 11'!$V$8</f>
        <v>20357373.750000034</v>
      </c>
      <c r="AC124" s="14">
        <f t="shared" ref="AC124" si="503">+AB124/AB$4</f>
        <v>0.23561775173611149</v>
      </c>
      <c r="AD124" s="13">
        <f t="shared" ref="AD124" si="504">+AB124*$AD$2</f>
        <v>16964478.12500003</v>
      </c>
      <c r="AE124" s="19">
        <f>'[202]Part 11'!$V$9</f>
        <v>9600000</v>
      </c>
      <c r="AF124" s="12">
        <f t="shared" ref="AF124" si="505">+AE124/$AE$4</f>
        <v>1</v>
      </c>
      <c r="AG124" s="12">
        <f t="shared" si="206"/>
        <v>0.51972475131923457</v>
      </c>
      <c r="AH124" s="11">
        <f>'[202]Parts 4 - 6 '!$C$44</f>
        <v>206815.04710000035</v>
      </c>
      <c r="AI124" s="14">
        <f t="shared" si="207"/>
        <v>0.48555524698718366</v>
      </c>
      <c r="AK124" s="14">
        <f t="shared" ref="AK124" si="506">+S124/$D124</f>
        <v>0.92197729782968174</v>
      </c>
      <c r="AL124" s="14">
        <f t="shared" ref="AL124" si="507">+T124/$D124</f>
        <v>4.0180399350453665E-2</v>
      </c>
      <c r="AM124" s="14">
        <f t="shared" ref="AM124" si="508">+U124/$D124</f>
        <v>1.8458629127056449E-2</v>
      </c>
      <c r="AN124" s="14">
        <f t="shared" ref="AN124" si="509">+V124/$D124</f>
        <v>5.3086808800146441E-3</v>
      </c>
      <c r="AO124" s="14">
        <f t="shared" ref="AO124" si="510">+W124/$D124</f>
        <v>2.7807674131888069E-3</v>
      </c>
      <c r="AP124" s="14">
        <f t="shared" ref="AP124" si="511">+X124/$D124</f>
        <v>1.0976626738131122E-3</v>
      </c>
      <c r="AQ124" s="14">
        <f t="shared" ref="AQ124" si="512">+Y124/$D124</f>
        <v>2.9273315955461219E-4</v>
      </c>
    </row>
    <row r="125" spans="1:43" ht="14.25" customHeight="1" x14ac:dyDescent="0.25">
      <c r="A125" s="10">
        <f t="shared" si="134"/>
        <v>121</v>
      </c>
      <c r="B125" s="15">
        <f t="shared" si="110"/>
        <v>44180</v>
      </c>
      <c r="C125" s="43">
        <f>'[204]Part 1'!$C$18</f>
        <v>2144</v>
      </c>
      <c r="D125" s="11">
        <f>'[205]Part 1'!$C$22</f>
        <v>38954489.880000003</v>
      </c>
      <c r="E125" s="12">
        <f t="shared" ref="E125" si="513">+D125/D$4</f>
        <v>0.40577581269971869</v>
      </c>
      <c r="F125" s="11">
        <f>'[205]Parts 2 - 3'!$C$49</f>
        <v>84074.2</v>
      </c>
      <c r="M125" s="17">
        <f>IF(F125&gt;0.01,F125,#REF!)/D124</f>
        <v>2.1464184537734647E-3</v>
      </c>
      <c r="N125" s="17">
        <f t="shared" ref="N125" si="514">1-(+M125-1)^12</f>
        <v>2.5455117104798308E-2</v>
      </c>
      <c r="O125" s="20">
        <f t="shared" ref="O125" si="515">AVERAGE(N123:N125)</f>
        <v>2.170219789515641E-2</v>
      </c>
      <c r="P125" s="20">
        <f t="shared" ref="P125" si="516">AVERAGE(N120:N125)</f>
        <v>1.7239984375732837E-2</v>
      </c>
      <c r="Q125" s="17">
        <f t="shared" ref="Q125" si="517">AVERAGE(N114:N125)</f>
        <v>2.0992386293071125E-2</v>
      </c>
      <c r="R125" s="11">
        <f>'[205]Parts 4 - 6 '!$C$61</f>
        <v>0</v>
      </c>
      <c r="S125" s="18">
        <f>'[204]Parts 7-10'!$C$4</f>
        <v>35656729.359999999</v>
      </c>
      <c r="T125" s="18">
        <f>'[205]Parts 7-10'!$E$4</f>
        <v>1723242.35</v>
      </c>
      <c r="U125" s="18">
        <f>'[205]Parts 7-10'!$F$4</f>
        <v>837104.08</v>
      </c>
      <c r="V125" s="18">
        <f>'[205]Parts 7-10'!$G$4</f>
        <v>116833.66</v>
      </c>
      <c r="W125" s="18">
        <f>'[205]Parts 7-10'!$H$4</f>
        <v>151448.32999999999</v>
      </c>
      <c r="X125" s="18">
        <f>'[205]Parts 7-10'!$J$4</f>
        <v>26742.61</v>
      </c>
      <c r="Y125" s="11">
        <f>'[206]Parts 7-10'!$P$15</f>
        <v>42994.93</v>
      </c>
      <c r="Z125" s="11">
        <f t="shared" ref="Z125" si="518">+Z124+Y125</f>
        <v>1453336.1800000004</v>
      </c>
      <c r="AA125" s="14">
        <f t="shared" si="263"/>
        <v>1.5138913932182772E-2</v>
      </c>
      <c r="AB125" s="11">
        <f>'[205]Part 11'!$V$8</f>
        <v>20077346.690000035</v>
      </c>
      <c r="AC125" s="14">
        <f t="shared" ref="AC125" si="519">+AB125/AB$4</f>
        <v>0.23237669780092632</v>
      </c>
      <c r="AD125" s="13">
        <f t="shared" ref="AD125" si="520">+AB125*$AD$2</f>
        <v>16731122.241666697</v>
      </c>
      <c r="AE125" s="19">
        <f>'[205]Part 11'!$V$9</f>
        <v>9600000</v>
      </c>
      <c r="AF125" s="12">
        <f t="shared" ref="AF125" si="521">+AE125/$AE$4</f>
        <v>1</v>
      </c>
      <c r="AG125" s="12">
        <f t="shared" si="206"/>
        <v>0.5154052010910336</v>
      </c>
      <c r="AH125" s="11">
        <f>'[205]Parts 4 - 6 '!$C$44</f>
        <v>203573.73750000034</v>
      </c>
      <c r="AI125" s="14">
        <f t="shared" si="207"/>
        <v>0.4898207366154313</v>
      </c>
      <c r="AK125" s="14">
        <f t="shared" ref="AK125" si="522">+S125/$D125</f>
        <v>0.91534324977277814</v>
      </c>
      <c r="AL125" s="14">
        <f t="shared" ref="AL125" si="523">+T125/$D125</f>
        <v>4.4237322971202517E-2</v>
      </c>
      <c r="AM125" s="14">
        <f t="shared" ref="AM125" si="524">+U125/$D125</f>
        <v>2.1489283586531717E-2</v>
      </c>
      <c r="AN125" s="14">
        <f t="shared" ref="AN125" si="525">+V125/$D125</f>
        <v>2.99923475727466E-3</v>
      </c>
      <c r="AO125" s="14">
        <f t="shared" ref="AO125" si="526">+W125/$D125</f>
        <v>3.8878273202020935E-3</v>
      </c>
      <c r="AP125" s="14">
        <f t="shared" ref="AP125" si="527">+X125/$D125</f>
        <v>6.8650905408801615E-4</v>
      </c>
      <c r="AQ125" s="14">
        <f t="shared" ref="AQ125" si="528">+Y125/$D125</f>
        <v>1.1037220647079874E-3</v>
      </c>
    </row>
    <row r="126" spans="1:43" ht="14.25" customHeight="1" x14ac:dyDescent="0.25">
      <c r="A126" s="10">
        <f t="shared" si="134"/>
        <v>122</v>
      </c>
      <c r="B126" s="15">
        <f t="shared" si="110"/>
        <v>44211</v>
      </c>
      <c r="C126" s="43">
        <f>'[207]Part 1'!$C$18</f>
        <v>2137</v>
      </c>
      <c r="D126" s="11">
        <f>'[208]Part 1'!$C$22</f>
        <v>38710526.740000002</v>
      </c>
      <c r="E126" s="12">
        <f t="shared" ref="E126" si="529">+D126/D$4</f>
        <v>0.40323453076515275</v>
      </c>
      <c r="F126" s="11">
        <f>'[208]Parts 2 - 3'!$C$49</f>
        <v>74620.88</v>
      </c>
      <c r="M126" s="17">
        <f>IF(F126&gt;0.01,F126,#REF!)/D125</f>
        <v>1.9155912509667293E-3</v>
      </c>
      <c r="N126" s="17">
        <f t="shared" ref="N126" si="530">1-(+M126-1)^12</f>
        <v>2.2746448470620018E-2</v>
      </c>
      <c r="O126" s="20">
        <f t="shared" ref="O126" si="531">AVERAGE(N124:N126)</f>
        <v>2.5306228295298456E-2</v>
      </c>
      <c r="P126" s="20">
        <f t="shared" ref="P126" si="532">AVERAGE(N121:N126)</f>
        <v>2.1028323403382121E-2</v>
      </c>
      <c r="Q126" s="17">
        <f t="shared" ref="Q126" si="533">AVERAGE(N115:N126)</f>
        <v>2.0062397701452749E-2</v>
      </c>
      <c r="R126" s="11">
        <f>'[208]Parts 4 - 6 '!$C$61</f>
        <v>0</v>
      </c>
      <c r="S126" s="18">
        <f>'[207]Parts 7-10'!$C$4</f>
        <v>35601545.990000002</v>
      </c>
      <c r="T126" s="18">
        <f>'[208]Parts 7-10'!$E$4</f>
        <v>1498101.31</v>
      </c>
      <c r="U126" s="18">
        <f>'[208]Parts 7-10'!$F$4</f>
        <v>798830.14</v>
      </c>
      <c r="V126" s="18">
        <f>'[208]Parts 7-10'!$G$4</f>
        <v>213341.28</v>
      </c>
      <c r="W126" s="18">
        <f>'[208]Parts 7-10'!$H$4</f>
        <v>126672.91</v>
      </c>
      <c r="X126" s="18">
        <f>'[208]Parts 7-10'!$J$4</f>
        <v>29175.13</v>
      </c>
      <c r="Y126" s="11">
        <f>'[209]Parts 2 - 3'!$C$18</f>
        <v>26742.61</v>
      </c>
      <c r="Z126" s="11">
        <f t="shared" ref="Z126" si="534">+Z125+Y126</f>
        <v>1480078.7900000005</v>
      </c>
      <c r="AA126" s="14">
        <f t="shared" si="263"/>
        <v>1.5417482701531053E-2</v>
      </c>
      <c r="AB126" s="11">
        <f>'[208]Part 11'!$V$8</f>
        <v>19767299.840000033</v>
      </c>
      <c r="AC126" s="14">
        <f t="shared" ref="AC126" si="535">+AB126/AB$4</f>
        <v>0.22878819259259298</v>
      </c>
      <c r="AD126" s="13">
        <f t="shared" ref="AD126" si="536">+AB126*$AD$2</f>
        <v>16472749.866666695</v>
      </c>
      <c r="AE126" s="19">
        <f>'[208]Part 11'!$V$9</f>
        <v>9600000</v>
      </c>
      <c r="AF126" s="12">
        <f t="shared" ref="AF126" si="537">+AE126/$AE$4</f>
        <v>1</v>
      </c>
      <c r="AG126" s="12">
        <f t="shared" si="206"/>
        <v>0.51064404193638291</v>
      </c>
      <c r="AH126" s="11">
        <f>'[208]Parts 4 - 6 '!$C$44</f>
        <v>200773.46690000035</v>
      </c>
      <c r="AI126" s="14">
        <f t="shared" si="207"/>
        <v>0.49454249216191282</v>
      </c>
      <c r="AK126" s="14">
        <f t="shared" ref="AK126" si="538">+S126/$D126</f>
        <v>0.919686426101057</v>
      </c>
      <c r="AL126" s="14">
        <f t="shared" ref="AL126" si="539">+T126/$D126</f>
        <v>3.8700101397793583E-2</v>
      </c>
      <c r="AM126" s="14">
        <f t="shared" ref="AM126" si="540">+U126/$D126</f>
        <v>2.0635992513492726E-2</v>
      </c>
      <c r="AN126" s="14">
        <f t="shared" ref="AN126" si="541">+V126/$D126</f>
        <v>5.5111954800540642E-3</v>
      </c>
      <c r="AO126" s="14">
        <f t="shared" ref="AO126" si="542">+W126/$D126</f>
        <v>3.2723117112510775E-3</v>
      </c>
      <c r="AP126" s="14">
        <f t="shared" ref="AP126" si="543">+X126/$D126</f>
        <v>7.5367432212832756E-4</v>
      </c>
      <c r="AQ126" s="14">
        <f t="shared" ref="AQ126" si="544">+Y126/$D126</f>
        <v>6.9083560085909587E-4</v>
      </c>
    </row>
    <row r="127" spans="1:43" ht="14.25" customHeight="1" x14ac:dyDescent="0.25">
      <c r="A127" s="10">
        <f t="shared" si="134"/>
        <v>123</v>
      </c>
      <c r="B127" s="15">
        <f t="shared" si="110"/>
        <v>44242</v>
      </c>
      <c r="C127" s="43">
        <f>'[210]Part 1'!$C$18</f>
        <v>2133</v>
      </c>
      <c r="D127" s="11">
        <f>'[211]Part 1'!$C$22</f>
        <v>38497423.600000001</v>
      </c>
      <c r="E127" s="12">
        <f t="shared" ref="E127" si="545">+D127/D$4</f>
        <v>0.40101470706604286</v>
      </c>
      <c r="F127" s="11">
        <f>'[211]Parts 2 - 3'!$C$49</f>
        <v>81906.039999999994</v>
      </c>
      <c r="M127" s="17">
        <f>IF(F127&gt;0.01,F127,#REF!)/D126</f>
        <v>2.1158596097160727E-3</v>
      </c>
      <c r="N127" s="17">
        <f t="shared" ref="N127" si="546">1-(+M127-1)^12</f>
        <v>2.5096916475025877E-2</v>
      </c>
      <c r="O127" s="20">
        <f t="shared" ref="O127" si="547">AVERAGE(N125:N127)</f>
        <v>2.4432827350148068E-2</v>
      </c>
      <c r="P127" s="20">
        <f t="shared" ref="P127" si="548">AVERAGE(N122:N127)</f>
        <v>2.1158762739412251E-2</v>
      </c>
      <c r="Q127" s="17">
        <f t="shared" ref="Q127" si="549">AVERAGE(N116:N127)</f>
        <v>1.7354393998743778E-2</v>
      </c>
      <c r="R127" s="11">
        <f>'[211]Parts 4 - 6 '!$C$61</f>
        <v>0</v>
      </c>
      <c r="S127" s="18">
        <f>'[210]Parts 7-10'!$C$4</f>
        <v>35476274.359999999</v>
      </c>
      <c r="T127" s="18">
        <f>'[211]Parts 7-10'!$E$4</f>
        <v>1471488.02</v>
      </c>
      <c r="U127" s="18">
        <f>'[211]Parts 7-10'!$F$4</f>
        <v>672543.33</v>
      </c>
      <c r="V127" s="18">
        <f>'[211]Parts 7-10'!$G$4</f>
        <v>238070.27</v>
      </c>
      <c r="W127" s="18">
        <f>'[211]Parts 7-10'!$H$4</f>
        <v>125407.99</v>
      </c>
      <c r="X127" s="18">
        <f>'[211]Parts 7-10'!$J$4</f>
        <v>41604.519999999997</v>
      </c>
      <c r="Y127" s="11">
        <f>'[212]Parts 2 - 3'!$C$18</f>
        <v>35683.64</v>
      </c>
      <c r="Z127" s="11">
        <f t="shared" ref="Z127" si="550">+Z126+Y127</f>
        <v>1515762.4300000004</v>
      </c>
      <c r="AA127" s="14">
        <f t="shared" si="263"/>
        <v>1.5789187171688118E-2</v>
      </c>
      <c r="AB127" s="11">
        <f>'[211]Part 11'!$V$8</f>
        <v>19484619.170000035</v>
      </c>
      <c r="AC127" s="14">
        <f t="shared" ref="AC127" si="551">+AB127/AB$4</f>
        <v>0.2255164255787041</v>
      </c>
      <c r="AD127" s="13">
        <f t="shared" ref="AD127" si="552">+AB127*$AD$2</f>
        <v>16237182.641666697</v>
      </c>
      <c r="AE127" s="19">
        <f>'[211]Part 11'!$V$9</f>
        <v>9600000</v>
      </c>
      <c r="AF127" s="12">
        <f t="shared" ref="AF127" si="553">+AE127/$AE$4</f>
        <v>1</v>
      </c>
      <c r="AG127" s="12">
        <f t="shared" si="206"/>
        <v>0.50612787423000516</v>
      </c>
      <c r="AH127" s="11">
        <f>'[211]Parts 4 - 6 '!$C$44</f>
        <v>197672.99840000039</v>
      </c>
      <c r="AI127" s="14">
        <f t="shared" si="207"/>
        <v>0.49900683297673892</v>
      </c>
      <c r="AK127" s="14">
        <f t="shared" ref="AK127" si="554">+S127/$D127</f>
        <v>0.92152333955148102</v>
      </c>
      <c r="AL127" s="14">
        <f t="shared" ref="AL127" si="555">+T127/$D127</f>
        <v>3.82230259169863E-2</v>
      </c>
      <c r="AM127" s="14">
        <f t="shared" ref="AM127" si="556">+U127/$D127</f>
        <v>1.7469826993825113E-2</v>
      </c>
      <c r="AN127" s="14">
        <f t="shared" ref="AN127" si="557">+V127/$D127</f>
        <v>6.1840572105194072E-3</v>
      </c>
      <c r="AO127" s="14">
        <f t="shared" ref="AO127" si="558">+W127/$D127</f>
        <v>3.2575683843944301E-3</v>
      </c>
      <c r="AP127" s="14">
        <f t="shared" ref="AP127" si="559">+X127/$D127</f>
        <v>1.0807092036153815E-3</v>
      </c>
      <c r="AQ127" s="14">
        <f t="shared" ref="AQ127" si="560">+Y127/$D127</f>
        <v>9.2690982053147053E-4</v>
      </c>
    </row>
    <row r="128" spans="1:43" ht="14.25" customHeight="1" x14ac:dyDescent="0.25">
      <c r="A128" s="10">
        <f t="shared" si="134"/>
        <v>124</v>
      </c>
      <c r="B128" s="15">
        <f t="shared" si="110"/>
        <v>44270</v>
      </c>
      <c r="C128" s="43">
        <f>'[213]Part 1'!$C$18</f>
        <v>2127</v>
      </c>
      <c r="D128" s="11">
        <f>'[214]Part 1'!$C$22</f>
        <v>38321283.960000001</v>
      </c>
      <c r="E128" s="12">
        <f t="shared" ref="E128" si="561">+D128/D$4</f>
        <v>0.39917991970803068</v>
      </c>
      <c r="F128" s="11">
        <f>'[214]Parts 2 - 3'!$C$49</f>
        <v>45063.59</v>
      </c>
      <c r="M128" s="17">
        <f>IF(F128&gt;0.01,F128,#REF!)/D127</f>
        <v>1.1705611904896409E-3</v>
      </c>
      <c r="N128" s="17">
        <f t="shared" ref="N128" si="562">1-(+M128-1)^12</f>
        <v>1.3956652129338165E-2</v>
      </c>
      <c r="O128" s="20">
        <f t="shared" ref="O128" si="563">AVERAGE(N126:N128)</f>
        <v>2.0600005691661354E-2</v>
      </c>
      <c r="P128" s="20">
        <f t="shared" ref="P128" si="564">AVERAGE(N123:N128)</f>
        <v>2.1151101793408882E-2</v>
      </c>
      <c r="Q128" s="17">
        <f t="shared" ref="Q128" si="565">AVERAGE(N117:N128)</f>
        <v>1.5638134961940942E-2</v>
      </c>
      <c r="R128" s="11">
        <f>'[214]Parts 4 - 6 '!$C$61</f>
        <v>0</v>
      </c>
      <c r="S128" s="18">
        <f>'[215]Parts 7-10'!$C$4</f>
        <v>35322842.810000002</v>
      </c>
      <c r="T128" s="18">
        <f>'[214]Parts 7-10'!$E$4</f>
        <v>1387629.42</v>
      </c>
      <c r="U128" s="18">
        <f>'[214]Parts 7-10'!$F$4</f>
        <v>682582.7</v>
      </c>
      <c r="V128" s="18">
        <f>'[214]Parts 7-10'!$G$4</f>
        <v>273632.71999999997</v>
      </c>
      <c r="W128" s="18">
        <f>'[214]Parts 7-10'!$H$4</f>
        <v>126823.71</v>
      </c>
      <c r="X128" s="18">
        <f>'[214]Parts 7-10'!$J$4</f>
        <v>26729.88</v>
      </c>
      <c r="Y128" s="11">
        <f>'[216]Parts 2 - 3'!$C$18</f>
        <v>29007.61</v>
      </c>
      <c r="Z128" s="11">
        <f t="shared" ref="Z128" si="566">+Z127+Y128</f>
        <v>1544770.0400000005</v>
      </c>
      <c r="AA128" s="14">
        <f t="shared" si="263"/>
        <v>1.6091349683852594E-2</v>
      </c>
      <c r="AB128" s="11">
        <f>'[214]Part 11'!$V$8</f>
        <v>19252232.350000035</v>
      </c>
      <c r="AC128" s="14">
        <f t="shared" ref="AC128" si="567">+AB128/AB$4</f>
        <v>0.22282676331018558</v>
      </c>
      <c r="AD128" s="13">
        <f t="shared" ref="AD128" si="568">+AB128*$AD$2</f>
        <v>16043526.958333364</v>
      </c>
      <c r="AE128" s="19">
        <f>'[214]Part 11'!$V$9</f>
        <v>9600000</v>
      </c>
      <c r="AF128" s="12">
        <f t="shared" ref="AF128" si="569">+AE128/$AE$4</f>
        <v>1</v>
      </c>
      <c r="AG128" s="12">
        <f t="shared" si="206"/>
        <v>0.50239006527275121</v>
      </c>
      <c r="AH128" s="11">
        <f>'[214]Parts 4 - 6 '!$C$44</f>
        <v>194846.19170000035</v>
      </c>
      <c r="AI128" s="14">
        <f t="shared" si="207"/>
        <v>0.50269447709027049</v>
      </c>
      <c r="AK128" s="14">
        <f t="shared" ref="AK128" si="570">+S128/$D128</f>
        <v>0.9217552012837098</v>
      </c>
      <c r="AL128" s="14">
        <f t="shared" ref="AL128" si="571">+T128/$D128</f>
        <v>3.6210410419661727E-2</v>
      </c>
      <c r="AM128" s="14">
        <f t="shared" ref="AM128" si="572">+U128/$D128</f>
        <v>1.7812104122411038E-2</v>
      </c>
      <c r="AN128" s="14">
        <f t="shared" ref="AN128" si="573">+V128/$D128</f>
        <v>7.1404893501381518E-3</v>
      </c>
      <c r="AO128" s="14">
        <f t="shared" ref="AO128" si="574">+W128/$D128</f>
        <v>3.3094848839715129E-3</v>
      </c>
      <c r="AP128" s="14">
        <f t="shared" ref="AP128" si="575">+X128/$D128</f>
        <v>6.9752047003176663E-4</v>
      </c>
      <c r="AQ128" s="14">
        <f t="shared" ref="AQ128" si="576">+Y128/$D128</f>
        <v>7.5695819665850259E-4</v>
      </c>
    </row>
    <row r="129" spans="1:43" ht="14.25" customHeight="1" x14ac:dyDescent="0.25">
      <c r="A129" s="10">
        <f t="shared" si="134"/>
        <v>125</v>
      </c>
      <c r="B129" s="15">
        <f t="shared" si="110"/>
        <v>44301</v>
      </c>
      <c r="C129" s="43">
        <f>'[217]Part 1'!$C$18</f>
        <v>2121</v>
      </c>
      <c r="D129" s="11">
        <f>'[218]Part 1'!$C$22</f>
        <v>38072232.789999999</v>
      </c>
      <c r="E129" s="12">
        <f t="shared" ref="E129" si="577">+D129/D$4</f>
        <v>0.39658563747710224</v>
      </c>
      <c r="F129" s="11">
        <f>'[218]Parts 2 - 3'!$C$49</f>
        <v>61104.22</v>
      </c>
      <c r="M129" s="17">
        <f>IF(F129&gt;0.01,F129,#REF!)/D128</f>
        <v>1.5945243396275808E-3</v>
      </c>
      <c r="N129" s="17">
        <f t="shared" ref="N129" si="578">1-(+M129-1)^12</f>
        <v>1.8967375264380082E-2</v>
      </c>
      <c r="O129" s="20">
        <f t="shared" ref="O129" si="579">AVERAGE(N127:N129)</f>
        <v>1.9340314622914707E-2</v>
      </c>
      <c r="P129" s="20">
        <f t="shared" ref="P129" si="580">AVERAGE(N124:N129)</f>
        <v>2.2323271459106581E-2</v>
      </c>
      <c r="Q129" s="17">
        <f t="shared" ref="Q129" si="581">AVERAGE(N118:N129)</f>
        <v>1.552684475218305E-2</v>
      </c>
      <c r="R129" s="11">
        <f>'[218]Parts 4 - 6 '!$C$61</f>
        <v>52222.96</v>
      </c>
      <c r="S129" s="18">
        <f>'[217]Parts 7-10'!$C$4</f>
        <v>35347352</v>
      </c>
      <c r="T129" s="18">
        <f>'[218]Parts 7-10'!$E$4</f>
        <v>1139315.95</v>
      </c>
      <c r="U129" s="18">
        <f>'[218]Parts 7-10'!$F$4</f>
        <v>701662.12</v>
      </c>
      <c r="V129" s="18">
        <f>'[218]Parts 7-10'!$G$4</f>
        <v>273872.28999999998</v>
      </c>
      <c r="W129" s="18">
        <f>'[218]Parts 7-10'!$H$4</f>
        <v>94854.74</v>
      </c>
      <c r="X129" s="18">
        <f>'[218]Parts 7-10'!$J$4</f>
        <v>0</v>
      </c>
      <c r="Y129" s="11">
        <f>'[219]Parts 2 - 3'!$C$18</f>
        <v>14132.97</v>
      </c>
      <c r="Z129" s="11">
        <f t="shared" ref="Z129" si="582">+Z128+Y129</f>
        <v>1558903.0100000005</v>
      </c>
      <c r="AA129" s="14">
        <f t="shared" si="263"/>
        <v>1.6238568076527661E-2</v>
      </c>
      <c r="AB129" s="11">
        <f>'[218]Part 11'!$V$6</f>
        <v>18863926.330000035</v>
      </c>
      <c r="AC129" s="14">
        <f t="shared" ref="AC129" si="583">+AB129/AB$4</f>
        <v>0.21833248067129671</v>
      </c>
      <c r="AD129" s="13">
        <f t="shared" ref="AD129" si="584">+AB129*$AD$2</f>
        <v>15719938.608333364</v>
      </c>
      <c r="AE129" s="19">
        <f>'[218]Part 11'!$V$7</f>
        <v>9600000</v>
      </c>
      <c r="AF129" s="12">
        <f t="shared" ref="AF129" si="585">+AE129/$AE$4</f>
        <v>1</v>
      </c>
      <c r="AG129" s="12">
        <f t="shared" si="206"/>
        <v>0.49547727957144683</v>
      </c>
      <c r="AH129" s="11">
        <f>'[218]Parts 4 - 6 '!$C$44</f>
        <v>192522.32350000035</v>
      </c>
      <c r="AI129" s="14">
        <f t="shared" si="207"/>
        <v>0.50957948514634421</v>
      </c>
      <c r="AK129" s="14">
        <f t="shared" ref="AK129" si="586">+S129/$D129</f>
        <v>0.92842865809762243</v>
      </c>
      <c r="AL129" s="14">
        <f t="shared" ref="AL129" si="587">+T129/$D129</f>
        <v>2.9925115143214064E-2</v>
      </c>
      <c r="AM129" s="14">
        <f t="shared" ref="AM129" si="588">+U129/$D129</f>
        <v>1.8429760184285739E-2</v>
      </c>
      <c r="AN129" s="14">
        <f t="shared" ref="AN129" si="589">+V129/$D129</f>
        <v>7.1934916848883871E-3</v>
      </c>
      <c r="AO129" s="14">
        <f t="shared" ref="AO129" si="590">+W129/$D129</f>
        <v>2.4914414797577731E-3</v>
      </c>
      <c r="AP129" s="14">
        <f t="shared" ref="AP129" si="591">+X129/$D129</f>
        <v>0</v>
      </c>
      <c r="AQ129" s="14">
        <f t="shared" ref="AQ129" si="592">+Y129/$D129</f>
        <v>3.7121463503217878E-4</v>
      </c>
    </row>
    <row r="130" spans="1:43" ht="14.25" customHeight="1" x14ac:dyDescent="0.25">
      <c r="A130" s="10">
        <f t="shared" si="134"/>
        <v>126</v>
      </c>
      <c r="B130" s="15">
        <f t="shared" si="110"/>
        <v>44331</v>
      </c>
      <c r="C130" s="43">
        <v>2113</v>
      </c>
      <c r="D130" s="11">
        <f>'[220]Part 1'!$C$22</f>
        <v>37827920.780000001</v>
      </c>
      <c r="E130" s="12">
        <f t="shared" ref="E130" si="593">+D130/D$4</f>
        <v>0.39404072148114283</v>
      </c>
      <c r="F130" s="11">
        <f>'[220]Parts 2 - 3'!$C$49</f>
        <v>88923.51</v>
      </c>
      <c r="M130" s="17">
        <f>IF(F130&gt;0.01,F130,#REF!)/D129</f>
        <v>2.335652613033941E-3</v>
      </c>
      <c r="N130" s="17">
        <f t="shared" ref="N130" si="594">1-(+M130-1)^12</f>
        <v>2.7670571810653577E-2</v>
      </c>
      <c r="O130" s="20">
        <f t="shared" ref="O130" si="595">AVERAGE(N128:N130)</f>
        <v>2.0198199734790607E-2</v>
      </c>
      <c r="P130" s="20">
        <f t="shared" ref="P130" si="596">AVERAGE(N125:N130)</f>
        <v>2.2315513542469339E-2</v>
      </c>
      <c r="Q130" s="17">
        <f t="shared" ref="Q130" si="597">AVERAGE(N119:N130)</f>
        <v>1.7832710952390595E-2</v>
      </c>
      <c r="R130" s="11">
        <f>'[220]Parts 4 - 6 '!$C$61</f>
        <v>0</v>
      </c>
      <c r="S130" s="18">
        <f>'[221]Parts 7-10'!$C$4</f>
        <v>35315285.590000004</v>
      </c>
      <c r="T130" s="18">
        <f>'[220]Parts 7-10'!$E$4</f>
        <v>1036761.11</v>
      </c>
      <c r="U130" s="18">
        <f>'[220]Parts 7-10'!$F$4</f>
        <v>607337.12</v>
      </c>
      <c r="V130" s="18">
        <f>'[220]Parts 7-10'!$G$4</f>
        <v>210256.97</v>
      </c>
      <c r="W130" s="18">
        <f>'[220]Parts 7-10'!$H$4</f>
        <v>124846.11</v>
      </c>
      <c r="X130" s="18">
        <f>'[220]Parts 7-10'!$J$4</f>
        <v>39525.949999999997</v>
      </c>
      <c r="Y130" s="11">
        <f>'[222]Parts 2 - 3'!$C$18</f>
        <v>0</v>
      </c>
      <c r="Z130" s="11">
        <f t="shared" ref="Z130" si="598">+Z129+Y130</f>
        <v>1558903.0100000005</v>
      </c>
      <c r="AA130" s="14">
        <f t="shared" ref="AA130" si="599">+Z130/D$4</f>
        <v>1.6238568076527661E-2</v>
      </c>
      <c r="AB130" s="11">
        <f>'[220]Part 11'!$V$6</f>
        <v>18545141.610000037</v>
      </c>
      <c r="AC130" s="14">
        <f t="shared" ref="AC130" si="600">+AB130/AB$4</f>
        <v>0.21464284270833375</v>
      </c>
      <c r="AD130" s="13">
        <f t="shared" ref="AD130" si="601">+AB130*$AD$2</f>
        <v>15454284.675000031</v>
      </c>
      <c r="AE130" s="19">
        <f>'[220]Part 11'!$V$7</f>
        <v>9600000</v>
      </c>
      <c r="AF130" s="12">
        <f t="shared" ref="AF130" si="602">+AE130/$AE$4</f>
        <v>1</v>
      </c>
      <c r="AG130" s="12">
        <f t="shared" ref="AG130" si="603">+AB130/D130</f>
        <v>0.49025009113916296</v>
      </c>
      <c r="AH130" s="11">
        <f>'[220]Parts 4 - 6 '!$C$44</f>
        <v>188639.26330000037</v>
      </c>
      <c r="AI130" s="14">
        <f t="shared" ref="AI130" si="604">((+D130+AH130)-AB130)/D130</f>
        <v>0.51473668210690293</v>
      </c>
      <c r="AK130" s="14">
        <f t="shared" ref="AK130" si="605">+S130/$D130</f>
        <v>0.93357723242012147</v>
      </c>
      <c r="AL130" s="14">
        <f t="shared" ref="AL130" si="606">+T130/$D130</f>
        <v>2.7407298329443101E-2</v>
      </c>
      <c r="AM130" s="14">
        <f t="shared" ref="AM130" si="607">+U130/$D130</f>
        <v>1.6055260439297135E-2</v>
      </c>
      <c r="AN130" s="14">
        <f t="shared" ref="AN130" si="608">+V130/$D130</f>
        <v>5.5582481316595374E-3</v>
      </c>
      <c r="AO130" s="14">
        <f t="shared" ref="AO130" si="609">+W130/$D130</f>
        <v>3.3003693416321042E-3</v>
      </c>
      <c r="AP130" s="14">
        <f t="shared" ref="AP130" si="610">+X130/$D130</f>
        <v>1.0448882514551992E-3</v>
      </c>
      <c r="AQ130" s="14">
        <f t="shared" ref="AQ130" si="611">+Y130/$D130</f>
        <v>0</v>
      </c>
    </row>
    <row r="131" spans="1:43" ht="14.25" customHeight="1" x14ac:dyDescent="0.25">
      <c r="A131" s="10">
        <f t="shared" si="134"/>
        <v>127</v>
      </c>
      <c r="B131" s="15">
        <f t="shared" si="110"/>
        <v>44362</v>
      </c>
      <c r="C131" s="43">
        <v>2108</v>
      </c>
      <c r="D131" s="11">
        <f>'[223]Part 1'!$C$22</f>
        <v>37601966.810000002</v>
      </c>
      <c r="E131" s="12">
        <f t="shared" ref="E131" si="612">+D131/D$4</f>
        <v>0.39168703501029134</v>
      </c>
      <c r="F131" s="11">
        <f>'[223]Parts 2 - 3'!$C$49</f>
        <v>73759.929999999993</v>
      </c>
      <c r="M131" s="17">
        <f>IF(F131&gt;0.01,F131,#REF!)/D130</f>
        <v>1.949880629944578E-3</v>
      </c>
      <c r="N131" s="17">
        <f t="shared" ref="N131" si="613">1-(+M131-1)^12</f>
        <v>2.3149257124005507E-2</v>
      </c>
      <c r="O131" s="20">
        <f t="shared" ref="O131" si="614">AVERAGE(N129:N131)</f>
        <v>2.3262401399679722E-2</v>
      </c>
      <c r="P131" s="20">
        <f t="shared" ref="P131" si="615">AVERAGE(N126:N131)</f>
        <v>2.1931203545670536E-2</v>
      </c>
      <c r="Q131" s="17">
        <f t="shared" ref="Q131" si="616">AVERAGE(N120:N131)</f>
        <v>1.9585593960701687E-2</v>
      </c>
      <c r="R131" s="11">
        <f>'[223]Parts 4 - 6 '!$C$61</f>
        <v>0</v>
      </c>
      <c r="S131" s="18">
        <f>'[224]Parts 7-10'!$C$4</f>
        <v>35121611.990000002</v>
      </c>
      <c r="T131" s="18">
        <f>'[223]Parts 7-10'!$E$4</f>
        <v>1105573.8799999999</v>
      </c>
      <c r="U131" s="18">
        <f>'[223]Parts 7-10'!$F$4</f>
        <v>581723.87</v>
      </c>
      <c r="V131" s="18">
        <f>'[223]Parts 7-10'!$G$4</f>
        <v>150329.54</v>
      </c>
      <c r="W131" s="18">
        <f>'[223]Parts 7-10'!$H$4</f>
        <v>102785.14</v>
      </c>
      <c r="X131" s="18">
        <f>'[223]Parts 7-10'!$J$4</f>
        <v>46034.46</v>
      </c>
      <c r="Y131" s="11">
        <f>'[225]Parts 2 - 3'!$C$18</f>
        <v>0</v>
      </c>
      <c r="Z131" s="11">
        <f t="shared" ref="Z131" si="617">+Z130+Y131</f>
        <v>1558903.0100000005</v>
      </c>
      <c r="AA131" s="14">
        <f t="shared" ref="AA131" si="618">+Z131/D$4</f>
        <v>1.6238568076527661E-2</v>
      </c>
      <c r="AB131" s="11">
        <f>'[223]Part 11'!$V$6</f>
        <v>18251382.880000036</v>
      </c>
      <c r="AC131" s="14">
        <f t="shared" ref="AC131" si="619">+AB131/AB$4</f>
        <v>0.21124285740740784</v>
      </c>
      <c r="AD131" s="13">
        <f t="shared" ref="AD131" si="620">+AB131*$AD$2</f>
        <v>15209485.733333364</v>
      </c>
      <c r="AE131" s="19">
        <f>'[223]Part 11'!$V$7</f>
        <v>9600000</v>
      </c>
      <c r="AF131" s="12">
        <f t="shared" ref="AF131" si="621">+AE131/$AE$4</f>
        <v>1</v>
      </c>
      <c r="AG131" s="12">
        <f t="shared" ref="AG131" si="622">+AB131/D131</f>
        <v>0.48538372931987689</v>
      </c>
      <c r="AH131" s="11">
        <f>'[223]Parts 4 - 6 '!$C$44</f>
        <v>185451.41610000038</v>
      </c>
      <c r="AI131" s="14">
        <f t="shared" ref="AI131" si="623">((+D131+AH131)-AB131)/D131</f>
        <v>0.51954823120859961</v>
      </c>
      <c r="AK131" s="14">
        <f t="shared" ref="AK131" si="624">+S131/$D131</f>
        <v>0.93403656695584425</v>
      </c>
      <c r="AL131" s="14">
        <f t="shared" ref="AL131" si="625">+T131/$D131</f>
        <v>2.9402022654463372E-2</v>
      </c>
      <c r="AM131" s="14">
        <f t="shared" ref="AM131" si="626">+U131/$D131</f>
        <v>1.5470570274672288E-2</v>
      </c>
      <c r="AN131" s="14">
        <f t="shared" ref="AN131" si="627">+V131/$D131</f>
        <v>3.9979169376858454E-3</v>
      </c>
      <c r="AO131" s="14">
        <f t="shared" ref="AO131" si="628">+W131/$D131</f>
        <v>2.7335043541569467E-3</v>
      </c>
      <c r="AP131" s="14">
        <f t="shared" ref="AP131" si="629">+X131/$D131</f>
        <v>1.2242567053103569E-3</v>
      </c>
      <c r="AQ131" s="14">
        <f t="shared" ref="AQ131" si="630">+Y131/$D131</f>
        <v>0</v>
      </c>
    </row>
    <row r="132" spans="1:43" ht="14.25" customHeight="1" x14ac:dyDescent="0.25">
      <c r="A132" s="10">
        <f t="shared" si="134"/>
        <v>128</v>
      </c>
      <c r="B132" s="15">
        <f t="shared" si="110"/>
        <v>44392</v>
      </c>
      <c r="C132" s="43">
        <v>2101</v>
      </c>
      <c r="D132" s="11">
        <f>'[226]Part 1'!$C$22</f>
        <v>37396956.329999998</v>
      </c>
      <c r="E132" s="12">
        <f t="shared" ref="E132" si="631">+D132/D$4</f>
        <v>0.3895515098271809</v>
      </c>
      <c r="F132" s="11">
        <f>'[226]Parts 2 - 3'!$C$49</f>
        <v>71416.320000000007</v>
      </c>
      <c r="M132" s="17">
        <f>IF(F132&gt;0.01,F132,#REF!)/D131</f>
        <v>1.8992708642306256E-3</v>
      </c>
      <c r="N132" s="17">
        <f t="shared" ref="N132" si="632">1-(+M132-1)^12</f>
        <v>2.2554674024894084E-2</v>
      </c>
      <c r="O132" s="20">
        <f t="shared" ref="O132" si="633">AVERAGE(N130:N132)</f>
        <v>2.4458167653184388E-2</v>
      </c>
      <c r="P132" s="20">
        <f t="shared" ref="P132" si="634">AVERAGE(N127:N132)</f>
        <v>2.1899241138049547E-2</v>
      </c>
      <c r="Q132" s="17">
        <f t="shared" ref="Q132" si="635">AVERAGE(N121:N132)</f>
        <v>2.1463782270715836E-2</v>
      </c>
      <c r="R132" s="11">
        <f>'[226]Parts 4 - 6 '!$C$61</f>
        <v>0</v>
      </c>
      <c r="S132" s="18">
        <f>'[227]Parts 7-10'!$C$4</f>
        <v>34978555.079999998</v>
      </c>
      <c r="T132" s="18">
        <f>'[226]Parts 7-10'!$E$4</f>
        <v>1116683.22</v>
      </c>
      <c r="U132" s="18">
        <f>'[226]Parts 7-10'!$F$4</f>
        <v>525157.81999999995</v>
      </c>
      <c r="V132" s="18">
        <f>'[226]Parts 7-10'!$G$4</f>
        <v>139477.35999999999</v>
      </c>
      <c r="W132" s="18">
        <f>'[226]Parts 7-10'!$H$4</f>
        <v>109421.6</v>
      </c>
      <c r="X132" s="18">
        <f>'[226]Parts 7-10'!$J$4</f>
        <v>0</v>
      </c>
      <c r="Y132" s="11">
        <f>'[228]Parts 2 - 3'!$C$18</f>
        <v>47212.22</v>
      </c>
      <c r="Z132" s="11">
        <f>+Z131+Y132+0.01</f>
        <v>1606115.2400000005</v>
      </c>
      <c r="AA132" s="14">
        <f t="shared" ref="AA132" si="636">+Z132/D$4</f>
        <v>1.6730361989286662E-2</v>
      </c>
      <c r="AB132" s="11">
        <f>'[226]Part 11'!$V$6</f>
        <v>17972432.150000036</v>
      </c>
      <c r="AC132" s="14">
        <f t="shared" ref="AC132" si="637">+AB132/AB$4</f>
        <v>0.20801426099537079</v>
      </c>
      <c r="AD132" s="13">
        <f t="shared" ref="AD132" si="638">+AB132*$AD$2</f>
        <v>14977026.791666698</v>
      </c>
      <c r="AE132" s="19">
        <f>'[226]Part 11'!$V$7</f>
        <v>9600000</v>
      </c>
      <c r="AF132" s="12">
        <f t="shared" ref="AF132" si="639">+AE132/$AE$4</f>
        <v>1</v>
      </c>
      <c r="AG132" s="12">
        <f t="shared" ref="AG132" si="640">+AB132/D132</f>
        <v>0.48058542495829998</v>
      </c>
      <c r="AH132" s="11">
        <f>'[226]Parts 4 - 6 '!$C$44</f>
        <v>182513.82880000037</v>
      </c>
      <c r="AI132" s="14">
        <f t="shared" ref="AI132" si="641">((+D132+AH132)-AB132)/D132</f>
        <v>0.52429502111836612</v>
      </c>
      <c r="AK132" s="14">
        <f t="shared" ref="AK132" si="642">+S132/$D132</f>
        <v>0.93533160215875777</v>
      </c>
      <c r="AL132" s="14">
        <f t="shared" ref="AL132" si="643">+T132/$D132</f>
        <v>2.9860270182046657E-2</v>
      </c>
      <c r="AM132" s="14">
        <f t="shared" ref="AM132" si="644">+U132/$D132</f>
        <v>1.4042795765673478E-2</v>
      </c>
      <c r="AN132" s="14">
        <f t="shared" ref="AN132" si="645">+V132/$D132</f>
        <v>3.7296447007402751E-3</v>
      </c>
      <c r="AO132" s="14">
        <f t="shared" ref="AO132" si="646">+W132/$D132</f>
        <v>2.925949348242053E-3</v>
      </c>
      <c r="AP132" s="14">
        <f t="shared" ref="AP132" si="647">+X132/$D132</f>
        <v>0</v>
      </c>
      <c r="AQ132" s="14">
        <f t="shared" ref="AQ132" si="648">+Y132/$D132</f>
        <v>1.2624615646093678E-3</v>
      </c>
    </row>
    <row r="133" spans="1:43" ht="14.25" customHeight="1" x14ac:dyDescent="0.25">
      <c r="A133" s="10">
        <f t="shared" si="134"/>
        <v>129</v>
      </c>
      <c r="B133" s="15">
        <f t="shared" si="110"/>
        <v>44423</v>
      </c>
      <c r="C133" s="43">
        <f>'[229]Part 1'!$C$18</f>
        <v>2094</v>
      </c>
      <c r="D133" s="11">
        <f>'[230]Part 1'!$C$22</f>
        <v>37208717.219999999</v>
      </c>
      <c r="E133" s="12">
        <f t="shared" ref="E133" si="649">+D133/D$4</f>
        <v>0.38759068636171079</v>
      </c>
      <c r="F133" s="11">
        <f>'[230]Parts 2 - 3'!$C$49</f>
        <v>73560.98</v>
      </c>
      <c r="M133" s="17">
        <f>IF(F133&gt;0.01,F133,#REF!)/D132</f>
        <v>1.9670312030444326E-3</v>
      </c>
      <c r="N133" s="17">
        <f t="shared" ref="N133" si="650">1-(+M133-1)^12</f>
        <v>2.3350673462764204E-2</v>
      </c>
      <c r="O133" s="20">
        <f t="shared" ref="O133" si="651">AVERAGE(N131:N133)</f>
        <v>2.3018201537221266E-2</v>
      </c>
      <c r="P133" s="20">
        <f t="shared" ref="P133" si="652">AVERAGE(N128:N133)</f>
        <v>2.1608200636005936E-2</v>
      </c>
      <c r="Q133" s="17">
        <f t="shared" ref="Q133" si="653">AVERAGE(N122:N133)</f>
        <v>2.1383481687709094E-2</v>
      </c>
      <c r="R133" s="11">
        <f>'[230]Parts 4 - 6 '!$C$61</f>
        <v>0</v>
      </c>
      <c r="S133" s="18">
        <f>'[229]Parts 7-10'!$C$4</f>
        <v>33651377.5</v>
      </c>
      <c r="T133" s="18">
        <f>'[230]Parts 7-10'!$E$4</f>
        <v>1508497.67</v>
      </c>
      <c r="U133" s="18">
        <f>'[230]Parts 7-10'!$F$4</f>
        <v>606969.63</v>
      </c>
      <c r="V133" s="18">
        <f>'[230]Parts 7-10'!$G$4</f>
        <v>404292.1</v>
      </c>
      <c r="W133" s="18">
        <f>'[230]Parts 7-10'!$H$4</f>
        <v>128334.84</v>
      </c>
      <c r="X133" s="18">
        <f>'[230]Parts 7-10'!$J$4</f>
        <v>60184.14</v>
      </c>
      <c r="Y133" s="11">
        <f>'[231]Parts 7-10'!$P$15</f>
        <v>0</v>
      </c>
      <c r="Z133" s="11">
        <f t="shared" ref="Z133:Z138" si="654">+Z132+Y133</f>
        <v>1606115.2400000005</v>
      </c>
      <c r="AA133" s="14">
        <f t="shared" ref="AA133" si="655">+Z133/D$4</f>
        <v>1.6730361989286662E-2</v>
      </c>
      <c r="AB133" s="11">
        <f>'[230]Part 11'!$V$6</f>
        <v>17745122.540000036</v>
      </c>
      <c r="AC133" s="14">
        <f t="shared" ref="AC133" si="656">+AB133/AB$4</f>
        <v>0.20538336273148189</v>
      </c>
      <c r="AD133" s="13">
        <f t="shared" ref="AD133" si="657">+AB133*$AD$2</f>
        <v>14787602.116666697</v>
      </c>
      <c r="AE133" s="19">
        <f>'[230]Part 11'!$V$7</f>
        <v>9600000</v>
      </c>
      <c r="AF133" s="12">
        <f t="shared" ref="AF133" si="658">+AE133/$AE$4</f>
        <v>1</v>
      </c>
      <c r="AG133" s="12">
        <f t="shared" ref="AG133" si="659">+AB133/D133</f>
        <v>0.47690766749846147</v>
      </c>
      <c r="AH133" s="11">
        <f>'[230]Parts 4 - 6 '!$C$44</f>
        <v>179724.32150000037</v>
      </c>
      <c r="AI133" s="14">
        <f t="shared" ref="AI133" si="660">((+D133+AH133)-AB133)/D133</f>
        <v>0.52792249959484006</v>
      </c>
      <c r="AK133" s="14">
        <f t="shared" ref="AK133" si="661">+S133/$D133</f>
        <v>0.90439499166373039</v>
      </c>
      <c r="AL133" s="14">
        <f t="shared" ref="AL133" si="662">+T133/$D133</f>
        <v>4.054151238487657E-2</v>
      </c>
      <c r="AM133" s="14">
        <f t="shared" ref="AM133" si="663">+U133/$D133</f>
        <v>1.6312565316649742E-2</v>
      </c>
      <c r="AN133" s="14">
        <f t="shared" ref="AN133" si="664">+V133/$D133</f>
        <v>1.086552104469459E-2</v>
      </c>
      <c r="AO133" s="14">
        <f t="shared" ref="AO133" si="665">+W133/$D133</f>
        <v>3.4490530603677716E-3</v>
      </c>
      <c r="AP133" s="14">
        <f t="shared" ref="AP133" si="666">+X133/$D133</f>
        <v>1.6174741968167212E-3</v>
      </c>
      <c r="AQ133" s="14">
        <f t="shared" ref="AQ133" si="667">+Y133/$D133</f>
        <v>0</v>
      </c>
    </row>
    <row r="134" spans="1:43" ht="14.25" customHeight="1" x14ac:dyDescent="0.25">
      <c r="A134" s="10">
        <f t="shared" si="134"/>
        <v>130</v>
      </c>
      <c r="B134" s="15">
        <f t="shared" si="110"/>
        <v>44454</v>
      </c>
      <c r="C134" s="43">
        <f>'[232]Part 1'!$C$18</f>
        <v>2077</v>
      </c>
      <c r="D134" s="11">
        <f>'[233]Part 1'!$C$22</f>
        <v>36934872.149999999</v>
      </c>
      <c r="E134" s="12">
        <f t="shared" ref="E134" si="668">+D134/D$4</f>
        <v>0.3847381344177534</v>
      </c>
      <c r="F134" s="11">
        <f>'[233]Parts 2 - 3'!$C$49</f>
        <v>138020.1</v>
      </c>
      <c r="M134" s="17">
        <f>IF(F134&gt;0.01,F134,#REF!)/D133</f>
        <v>3.7093485159389759E-3</v>
      </c>
      <c r="N134" s="17">
        <f t="shared" ref="N134" si="669">1-(+M134-1)^12</f>
        <v>4.3615205790867306E-2</v>
      </c>
      <c r="O134" s="20">
        <f t="shared" ref="O134" si="670">AVERAGE(N132:N134)</f>
        <v>2.9840184426175198E-2</v>
      </c>
      <c r="P134" s="20">
        <f t="shared" ref="P134" si="671">AVERAGE(N129:N134)</f>
        <v>2.655129291292746E-2</v>
      </c>
      <c r="Q134" s="17">
        <f t="shared" ref="Q134" si="672">AVERAGE(N123:N134)</f>
        <v>2.3851197353168169E-2</v>
      </c>
      <c r="R134" s="11">
        <f>'[233]Parts 4 - 6 '!$C$61</f>
        <v>0</v>
      </c>
      <c r="S134" s="18">
        <f>'[232]Parts 7-10'!$C$4</f>
        <v>33155595.880000003</v>
      </c>
      <c r="T134" s="18">
        <f>'[233]Parts 7-10'!$E$4</f>
        <v>1571317.67</v>
      </c>
      <c r="U134" s="18">
        <f>'[233]Parts 7-10'!$F$4</f>
        <v>739018.85</v>
      </c>
      <c r="V134" s="18">
        <f>'[233]Parts 7-10'!$G$4</f>
        <v>298239.62</v>
      </c>
      <c r="W134" s="18">
        <f>'[233]Parts 7-10'!$H$4</f>
        <v>172035.33</v>
      </c>
      <c r="X134" s="18">
        <f>'[233]Parts 7-10'!$J$4</f>
        <v>54563.360000000001</v>
      </c>
      <c r="Y134" s="11">
        <f>'[234]Parts 7-10'!$P$15</f>
        <v>0</v>
      </c>
      <c r="Z134" s="11">
        <f t="shared" si="654"/>
        <v>1606115.2400000005</v>
      </c>
      <c r="AA134" s="14">
        <f t="shared" ref="AA134" si="673">+Z134/D$4</f>
        <v>1.6730361989286662E-2</v>
      </c>
      <c r="AB134" s="11">
        <f>'[233]Part 11'!$V$6</f>
        <v>17415160.770000037</v>
      </c>
      <c r="AC134" s="14">
        <f t="shared" ref="AC134" si="674">+AB134/AB$4</f>
        <v>0.20156436076388931</v>
      </c>
      <c r="AD134" s="13">
        <f t="shared" ref="AD134" si="675">+AB134*$AD$2</f>
        <v>14512633.975000031</v>
      </c>
      <c r="AE134" s="19">
        <f>'[233]Part 11'!$V$7</f>
        <v>9600000</v>
      </c>
      <c r="AF134" s="12">
        <f t="shared" ref="AF134" si="676">+AE134/$AE$4</f>
        <v>1</v>
      </c>
      <c r="AG134" s="12">
        <f t="shared" ref="AG134" si="677">+AB134/D134</f>
        <v>0.47150997840938885</v>
      </c>
      <c r="AH134" s="11">
        <f>'[233]Parts 4 - 6 '!$C$44</f>
        <v>177451.22540000037</v>
      </c>
      <c r="AI134" s="14">
        <f t="shared" ref="AI134" si="678">((+D134+AH134)-AB134)/D134</f>
        <v>0.53329445748196436</v>
      </c>
      <c r="AK134" s="14">
        <f t="shared" ref="AK134" si="679">+S134/$D134</f>
        <v>0.89767728842673156</v>
      </c>
      <c r="AL134" s="14">
        <f t="shared" ref="AL134" si="680">+T134/$D134</f>
        <v>4.2542929717437776E-2</v>
      </c>
      <c r="AM134" s="14">
        <f t="shared" ref="AM134" si="681">+U134/$D134</f>
        <v>2.0008701993029641E-2</v>
      </c>
      <c r="AN134" s="14">
        <f t="shared" ref="AN134" si="682">+V134/$D134</f>
        <v>8.0747435320417098E-3</v>
      </c>
      <c r="AO134" s="14">
        <f t="shared" ref="AO134" si="683">+W134/$D134</f>
        <v>4.6578022336541377E-3</v>
      </c>
      <c r="AP134" s="14">
        <f t="shared" ref="AP134" si="684">+X134/$D134</f>
        <v>1.4772857417349962E-3</v>
      </c>
      <c r="AQ134" s="14">
        <f t="shared" ref="AQ134" si="685">+Y134/$D134</f>
        <v>0</v>
      </c>
    </row>
    <row r="135" spans="1:43" ht="14.25" customHeight="1" x14ac:dyDescent="0.25">
      <c r="A135" s="10">
        <f t="shared" si="134"/>
        <v>131</v>
      </c>
      <c r="B135" s="15">
        <f t="shared" si="110"/>
        <v>44484</v>
      </c>
      <c r="C135" s="43">
        <f>'[235]Part 1'!$C$18</f>
        <v>2062</v>
      </c>
      <c r="D135" s="11">
        <f>'[236]Part 1'!$C$22</f>
        <v>36671784.590000004</v>
      </c>
      <c r="E135" s="12">
        <f t="shared" ref="E135" si="686">+D135/D$4</f>
        <v>0.38199763983551033</v>
      </c>
      <c r="F135" s="11">
        <f>'[236]Parts 2 - 3'!$C$49</f>
        <v>136310.17000000001</v>
      </c>
      <c r="M135" s="17">
        <f>IF(F135&gt;0.01,F135,#REF!)/D134</f>
        <v>3.6905548081070053E-3</v>
      </c>
      <c r="N135" s="17">
        <f t="shared" ref="N135" si="687">1-(+M135-1)^12</f>
        <v>4.3398692090215962E-2</v>
      </c>
      <c r="O135" s="20">
        <f t="shared" ref="O135" si="688">AVERAGE(N133:N135)</f>
        <v>3.6788190447949155E-2</v>
      </c>
      <c r="P135" s="20">
        <f t="shared" ref="P135" si="689">AVERAGE(N130:N135)</f>
        <v>3.0623179050566773E-2</v>
      </c>
      <c r="Q135" s="17">
        <f t="shared" ref="Q135" si="690">AVERAGE(N124:N135)</f>
        <v>2.6473225254836679E-2</v>
      </c>
      <c r="R135" s="11">
        <f>'[236]Parts 4 - 6 '!$C$61</f>
        <v>0</v>
      </c>
      <c r="S135" s="18">
        <f>'[235]Parts 7-10'!$C$4</f>
        <v>32907280.030000001</v>
      </c>
      <c r="T135" s="18">
        <f>'[236]Parts 7-10'!$E$4</f>
        <v>1484810.41</v>
      </c>
      <c r="U135" s="18">
        <f>'[236]Parts 7-10'!$F$4</f>
        <v>992359.56</v>
      </c>
      <c r="V135" s="18">
        <f>'[236]Parts 7-10'!$G$4</f>
        <v>290541.82</v>
      </c>
      <c r="W135" s="18">
        <f>'[236]Parts 7-10'!$H$4</f>
        <v>184330.74</v>
      </c>
      <c r="X135" s="18">
        <f>'[236]Parts 7-10'!$J$4</f>
        <v>86820.55</v>
      </c>
      <c r="Y135" s="11">
        <f>'[237]Parts 7-10'!$P$15</f>
        <v>0</v>
      </c>
      <c r="Z135" s="11">
        <f t="shared" si="654"/>
        <v>1606115.2400000005</v>
      </c>
      <c r="AA135" s="14">
        <f t="shared" ref="AA135" si="691">+Z135/D$4</f>
        <v>1.6730361989286662E-2</v>
      </c>
      <c r="AB135" s="11">
        <f>'[236]Part 11'!$V$6</f>
        <v>17058617.020000037</v>
      </c>
      <c r="AC135" s="14">
        <f t="shared" ref="AC135" si="692">+AB135/AB$4</f>
        <v>0.19743769699074118</v>
      </c>
      <c r="AD135" s="13">
        <f t="shared" ref="AD135" si="693">+AB135*$AD$2</f>
        <v>14215514.183333365</v>
      </c>
      <c r="AE135" s="19">
        <f>'[236]Part 11'!$V$7</f>
        <v>9600000</v>
      </c>
      <c r="AF135" s="12">
        <f t="shared" ref="AF135" si="694">+AE135/$AE$4</f>
        <v>1</v>
      </c>
      <c r="AG135" s="12">
        <f t="shared" ref="AG135" si="695">+AB135/D135</f>
        <v>0.46517008132327808</v>
      </c>
      <c r="AH135" s="11">
        <f>'[236]Parts 4 - 6 '!$C$44</f>
        <v>174151.60770000037</v>
      </c>
      <c r="AI135" s="14">
        <f t="shared" ref="AI135" si="696">((+D135+AH135)-AB135)/D135</f>
        <v>0.53957884512377263</v>
      </c>
      <c r="AK135" s="14">
        <f t="shared" ref="AK135" si="697">+S135/$D135</f>
        <v>0.89734602223240201</v>
      </c>
      <c r="AL135" s="14">
        <f t="shared" ref="AL135" si="698">+T135/$D135</f>
        <v>4.0489177895228247E-2</v>
      </c>
      <c r="AM135" s="14">
        <f t="shared" ref="AM135" si="699">+U135/$D135</f>
        <v>2.7060574528751068E-2</v>
      </c>
      <c r="AN135" s="14">
        <f t="shared" ref="AN135" si="700">+V135/$D135</f>
        <v>7.9227619612280229E-3</v>
      </c>
      <c r="AO135" s="14">
        <f t="shared" ref="AO135" si="701">+W135/$D135</f>
        <v>5.0265004024446901E-3</v>
      </c>
      <c r="AP135" s="14">
        <f t="shared" ref="AP135" si="702">+X135/$D135</f>
        <v>2.3675027264333085E-3</v>
      </c>
      <c r="AQ135" s="14">
        <f t="shared" ref="AQ135" si="703">+Y135/$D135</f>
        <v>0</v>
      </c>
    </row>
    <row r="136" spans="1:43" ht="14.25" customHeight="1" x14ac:dyDescent="0.25">
      <c r="A136" s="10">
        <f t="shared" si="134"/>
        <v>132</v>
      </c>
      <c r="B136" s="15">
        <f t="shared" si="110"/>
        <v>44515</v>
      </c>
      <c r="C136" s="43">
        <f>'[235]Part 1'!$C$18</f>
        <v>2062</v>
      </c>
      <c r="D136" s="11">
        <f>'[238]Part 1'!$C$22</f>
        <v>36297557.979999997</v>
      </c>
      <c r="E136" s="12">
        <f t="shared" ref="E136" si="704">+D136/D$4</f>
        <v>0.37809944716826205</v>
      </c>
      <c r="F136" s="11">
        <f>'[238]Parts 2 - 3'!$C$49</f>
        <v>27645.59</v>
      </c>
      <c r="M136" s="17">
        <f>IF(F136&gt;0.01,F136,#REF!)/D135</f>
        <v>7.5386541203502409E-4</v>
      </c>
      <c r="N136" s="17">
        <f t="shared" ref="N136" si="705">1-(+M136-1)^12</f>
        <v>9.0089703777563868E-3</v>
      </c>
      <c r="O136" s="20">
        <f t="shared" ref="O136" si="706">AVERAGE(N134:N136)</f>
        <v>3.2007622752946552E-2</v>
      </c>
      <c r="P136" s="20">
        <f t="shared" ref="P136" si="707">AVERAGE(N131:N136)</f>
        <v>2.7512912145083907E-2</v>
      </c>
      <c r="Q136" s="17">
        <f t="shared" ref="Q136" si="708">AVERAGE(N125:N136)</f>
        <v>2.4914212843776623E-2</v>
      </c>
      <c r="R136" s="11">
        <f>'[238]Parts 4 - 6 '!$C$61</f>
        <v>0</v>
      </c>
      <c r="S136" s="18">
        <f>'[239]Parts 7-10'!$C$4</f>
        <v>32637842.539999999</v>
      </c>
      <c r="T136" s="18">
        <f>'[238]Parts 7-10'!$E$4</f>
        <v>1302573.17</v>
      </c>
      <c r="U136" s="18">
        <f>'[238]Parts 7-10'!$F$4</f>
        <v>979028.91</v>
      </c>
      <c r="V136" s="18">
        <f>'[238]Parts 7-10'!$G$4</f>
        <v>546470.31999999995</v>
      </c>
      <c r="W136" s="18">
        <f>'[238]Parts 7-10'!$H$4</f>
        <v>239117.5</v>
      </c>
      <c r="X136" s="18">
        <f>'[238]Parts 7-10'!$J$4</f>
        <v>157995.93</v>
      </c>
      <c r="Y136" s="11">
        <f>'[240]Parts 7-10'!$P$15</f>
        <v>13858.58</v>
      </c>
      <c r="Z136" s="11">
        <f t="shared" si="654"/>
        <v>1619973.8200000005</v>
      </c>
      <c r="AA136" s="14">
        <f t="shared" ref="AA136" si="709">+Z136/D$4</f>
        <v>1.6874722153665332E-2</v>
      </c>
      <c r="AB136" s="11">
        <f>'[238]Part 11'!$V$6</f>
        <v>16592906.690000037</v>
      </c>
      <c r="AC136" s="14">
        <f t="shared" ref="AC136" si="710">+AB136/AB$4</f>
        <v>0.19204753113425968</v>
      </c>
      <c r="AD136" s="13">
        <f t="shared" ref="AD136" si="711">+AB136*$AD$2</f>
        <v>13827422.241666697</v>
      </c>
      <c r="AE136" s="19">
        <f>'[238]Part 11'!$V$7</f>
        <v>9600000</v>
      </c>
      <c r="AF136" s="12">
        <f t="shared" ref="AF136" si="712">+AE136/$AE$4</f>
        <v>1</v>
      </c>
      <c r="AG136" s="12">
        <f t="shared" ref="AG136" si="713">+AB136/D136</f>
        <v>0.45713562050490425</v>
      </c>
      <c r="AH136" s="11">
        <f>'[238]Parts 4 - 6 '!$C$44</f>
        <v>167859.59500000038</v>
      </c>
      <c r="AI136" s="14">
        <f t="shared" ref="AI136" si="714">((+D136+AH136)-AB136)/D136</f>
        <v>0.5474889218704394</v>
      </c>
      <c r="AK136" s="14">
        <f t="shared" ref="AK136" si="715">+S136/$D136</f>
        <v>0.89917460998294962</v>
      </c>
      <c r="AL136" s="14">
        <f t="shared" ref="AL136" si="716">+T136/$D136</f>
        <v>3.5885972569221311E-2</v>
      </c>
      <c r="AM136" s="14">
        <f t="shared" ref="AM136" si="717">+U136/$D136</f>
        <v>2.6972307904004074E-2</v>
      </c>
      <c r="AN136" s="14">
        <f t="shared" ref="AN136" si="718">+V136/$D136</f>
        <v>1.5055291606699984E-2</v>
      </c>
      <c r="AO136" s="14">
        <f t="shared" ref="AO136" si="719">+W136/$D136</f>
        <v>6.5877021294863435E-3</v>
      </c>
      <c r="AP136" s="14">
        <f t="shared" ref="AP136" si="720">+X136/$D136</f>
        <v>4.3527977856542294E-3</v>
      </c>
      <c r="AQ136" s="14">
        <f t="shared" ref="AQ136" si="721">+Y136/$D136</f>
        <v>3.8180474861796755E-4</v>
      </c>
    </row>
    <row r="137" spans="1:43" ht="14.25" customHeight="1" x14ac:dyDescent="0.25">
      <c r="A137" s="10">
        <f t="shared" si="134"/>
        <v>133</v>
      </c>
      <c r="B137" s="15">
        <f t="shared" si="110"/>
        <v>44545</v>
      </c>
      <c r="C137" s="43">
        <f>'[235]Part 1'!$C$18</f>
        <v>2062</v>
      </c>
      <c r="D137" s="11">
        <f>'[241]Part 1'!$C$22</f>
        <v>36297557.979999997</v>
      </c>
      <c r="E137" s="12">
        <f t="shared" ref="E137" si="722">+D137/D$4</f>
        <v>0.37809944716826205</v>
      </c>
      <c r="F137" s="11">
        <f>'[241]Parts 2 - 3'!$C$49</f>
        <v>27645.59</v>
      </c>
      <c r="M137" s="17">
        <f>IF(F137&gt;0.01,F137,#REF!)/D136</f>
        <v>7.6163773924495855E-4</v>
      </c>
      <c r="N137" s="17">
        <f t="shared" ref="N137" si="723">1-(+M137-1)^12</f>
        <v>9.1014638299449224E-3</v>
      </c>
      <c r="O137" s="20">
        <f t="shared" ref="O137" si="724">AVERAGE(N135:N137)</f>
        <v>2.0503042099305757E-2</v>
      </c>
      <c r="P137" s="20">
        <f t="shared" ref="P137" si="725">AVERAGE(N132:N137)</f>
        <v>2.5171613262740478E-2</v>
      </c>
      <c r="Q137" s="17">
        <f t="shared" ref="Q137" si="726">AVERAGE(N126:N137)</f>
        <v>2.3551408404205509E-2</v>
      </c>
      <c r="R137" s="11">
        <f>'[241]Parts 4 - 6 '!$C$61</f>
        <v>0</v>
      </c>
      <c r="S137" s="18">
        <f>'[242]Parts 7-10'!$C$4</f>
        <v>32637842.539999999</v>
      </c>
      <c r="T137" s="18">
        <f>'[241]Parts 7-10'!$E$4</f>
        <v>1302573.17</v>
      </c>
      <c r="U137" s="18">
        <f>'[241]Parts 7-10'!$F$4</f>
        <v>979028.91</v>
      </c>
      <c r="V137" s="18">
        <f>'[241]Parts 7-10'!$G$4</f>
        <v>546470.31999999995</v>
      </c>
      <c r="W137" s="18">
        <f>'[241]Parts 7-10'!$H$4</f>
        <v>239117.5</v>
      </c>
      <c r="X137" s="18">
        <f>'[241]Parts 7-10'!$J$4</f>
        <v>157995.93</v>
      </c>
      <c r="Y137" s="11">
        <f>'[243]Parts 7-10'!$P$15</f>
        <v>61140.78</v>
      </c>
      <c r="Z137" s="11">
        <f t="shared" si="654"/>
        <v>1681114.6000000006</v>
      </c>
      <c r="AA137" s="14">
        <f t="shared" ref="AA137" si="727">+Z137/D$4</f>
        <v>1.751160508474775E-2</v>
      </c>
      <c r="AB137" s="11">
        <f>'[241]Part 11'!$V$6</f>
        <v>16592906.690000037</v>
      </c>
      <c r="AC137" s="14">
        <f t="shared" ref="AC137" si="728">+AB137/AB$4</f>
        <v>0.19204753113425968</v>
      </c>
      <c r="AD137" s="13">
        <f t="shared" ref="AD137" si="729">+AB137*$AD$2</f>
        <v>13827422.241666697</v>
      </c>
      <c r="AE137" s="19">
        <f>'[241]Part 11'!$V$7</f>
        <v>9600000</v>
      </c>
      <c r="AF137" s="12">
        <f t="shared" ref="AF137" si="730">+AE137/$AE$4</f>
        <v>1</v>
      </c>
      <c r="AG137" s="12">
        <f t="shared" ref="AG137" si="731">+AB137/D137</f>
        <v>0.45713562050490425</v>
      </c>
      <c r="AH137" s="11">
        <f>'[241]Parts 4 - 6 '!$C$44</f>
        <v>167859.59500000038</v>
      </c>
      <c r="AI137" s="14">
        <f t="shared" ref="AI137" si="732">((+D137+AH137)-AB137)/D137</f>
        <v>0.5474889218704394</v>
      </c>
      <c r="AK137" s="14">
        <f t="shared" ref="AK137" si="733">+S137/$D137</f>
        <v>0.89917460998294962</v>
      </c>
      <c r="AL137" s="14">
        <f t="shared" ref="AL137" si="734">+T137/$D137</f>
        <v>3.5885972569221311E-2</v>
      </c>
      <c r="AM137" s="14">
        <f t="shared" ref="AM137" si="735">+U137/$D137</f>
        <v>2.6972307904004074E-2</v>
      </c>
      <c r="AN137" s="14">
        <f t="shared" ref="AN137" si="736">+V137/$D137</f>
        <v>1.5055291606699984E-2</v>
      </c>
      <c r="AO137" s="14">
        <f t="shared" ref="AO137" si="737">+W137/$D137</f>
        <v>6.5877021294863435E-3</v>
      </c>
      <c r="AP137" s="14">
        <f t="shared" ref="AP137" si="738">+X137/$D137</f>
        <v>4.3527977856542294E-3</v>
      </c>
      <c r="AQ137" s="14">
        <f t="shared" ref="AQ137" si="739">+Y137/$D137</f>
        <v>1.6844323255489708E-3</v>
      </c>
    </row>
    <row r="138" spans="1:43" ht="14.25" customHeight="1" x14ac:dyDescent="0.25">
      <c r="A138" s="10">
        <f t="shared" si="134"/>
        <v>134</v>
      </c>
      <c r="B138" s="15">
        <f t="shared" si="110"/>
        <v>44576</v>
      </c>
      <c r="C138" s="43">
        <f>'[244]Part 1'!$C$18</f>
        <v>2062</v>
      </c>
      <c r="D138" s="11">
        <f>'[244]Part 1'!$C$22</f>
        <v>36008195.770000003</v>
      </c>
      <c r="E138" s="12">
        <f t="shared" ref="E138" si="740">+D138/D$4</f>
        <v>0.37508525839851981</v>
      </c>
      <c r="F138" s="11">
        <f>'[244]Parts 2 - 3'!$C$49</f>
        <v>116035.08</v>
      </c>
      <c r="M138" s="17">
        <f>IF(F138&gt;0.01,F138,#REF!)/D137</f>
        <v>3.1967737351348948E-3</v>
      </c>
      <c r="N138" s="17">
        <f t="shared" ref="N138" si="741">1-(+M138-1)^12</f>
        <v>3.7693942654430712E-2</v>
      </c>
      <c r="O138" s="20">
        <f t="shared" ref="O138" si="742">AVERAGE(N136:N138)</f>
        <v>1.8601458954044008E-2</v>
      </c>
      <c r="P138" s="20">
        <f t="shared" ref="P138" si="743">AVERAGE(N133:N138)</f>
        <v>2.7694824700996584E-2</v>
      </c>
      <c r="Q138" s="17">
        <f t="shared" ref="Q138" si="744">AVERAGE(N127:N138)</f>
        <v>2.4797032919523065E-2</v>
      </c>
      <c r="R138" s="11">
        <f>'[244]Parts 4 - 6 '!$C$61</f>
        <v>0</v>
      </c>
      <c r="S138" s="18">
        <f>'[244]Parts 7-10'!$C$4</f>
        <v>32391798.75</v>
      </c>
      <c r="T138" s="18">
        <f>'[244]Parts 7-10'!$E$4</f>
        <v>1207455.22</v>
      </c>
      <c r="U138" s="18">
        <f>'[244]Parts 7-10'!$F$4</f>
        <v>1124985.32</v>
      </c>
      <c r="V138" s="18">
        <f>'[244]Parts 7-10'!$G$4</f>
        <v>437628.64</v>
      </c>
      <c r="W138" s="18">
        <f>'[244]Parts 7-10'!$H$4</f>
        <v>270800.81</v>
      </c>
      <c r="X138" s="18">
        <f>'[244]Parts 7-10'!$J$4</f>
        <v>156304.09</v>
      </c>
      <c r="Y138" s="11">
        <f>'[244]Parts 7-10'!$P$15</f>
        <v>20560.45</v>
      </c>
      <c r="Z138" s="11">
        <f t="shared" si="654"/>
        <v>1701675.0500000005</v>
      </c>
      <c r="AA138" s="14">
        <f t="shared" ref="AA138" si="745">+Z138/D$4</f>
        <v>1.7725776373703719E-2</v>
      </c>
      <c r="AB138" s="11">
        <f>'[244]Part 11'!$V$6</f>
        <v>16258764.490000037</v>
      </c>
      <c r="AC138" s="14">
        <f t="shared" ref="AC138" si="746">+AB138/AB$4</f>
        <v>0.18818014456018561</v>
      </c>
      <c r="AD138" s="13">
        <f t="shared" ref="AD138" si="747">+AB138*$AD$2</f>
        <v>13548970.408333365</v>
      </c>
      <c r="AE138" s="19">
        <f>'[244]Part 11'!$V$7</f>
        <v>9600000</v>
      </c>
      <c r="AF138" s="12">
        <f t="shared" ref="AF138" si="748">+AE138/$AE$4</f>
        <v>1</v>
      </c>
      <c r="AG138" s="12">
        <f t="shared" ref="AG138" si="749">+AB138/D138</f>
        <v>0.45152955160130304</v>
      </c>
      <c r="AH138" s="11">
        <f>'[244]Parts 4 - 6 '!$C$44</f>
        <v>165929.06690000038</v>
      </c>
      <c r="AI138" s="14">
        <f t="shared" ref="AI138" si="750">((+D138+AH138)-AB138)/D138</f>
        <v>0.55307854006649004</v>
      </c>
      <c r="AK138" s="14">
        <f t="shared" ref="AK138" si="751">+S138/$D138</f>
        <v>0.89956739173771705</v>
      </c>
      <c r="AL138" s="14">
        <f t="shared" ref="AL138" si="752">+T138/$D138</f>
        <v>3.3532788693789083E-2</v>
      </c>
      <c r="AM138" s="14">
        <f t="shared" ref="AM138" si="753">+U138/$D138</f>
        <v>3.1242479550649255E-2</v>
      </c>
      <c r="AN138" s="14">
        <f t="shared" ref="AN138" si="754">+V138/$D138</f>
        <v>1.2153584222750964E-2</v>
      </c>
      <c r="AO138" s="14">
        <f t="shared" ref="AO138" si="755">+W138/$D138</f>
        <v>7.5205325956824512E-3</v>
      </c>
      <c r="AP138" s="14">
        <f t="shared" ref="AP138" si="756">+X138/$D138</f>
        <v>4.3407920518534768E-3</v>
      </c>
      <c r="AQ138" s="14">
        <f t="shared" ref="AQ138" si="757">+Y138/$D138</f>
        <v>5.7099361854530373E-4</v>
      </c>
    </row>
    <row r="139" spans="1:43" ht="14.25" customHeight="1" x14ac:dyDescent="0.25">
      <c r="A139" s="10">
        <f t="shared" si="134"/>
        <v>135</v>
      </c>
      <c r="B139" s="15">
        <f t="shared" si="110"/>
        <v>44607</v>
      </c>
      <c r="C139" s="43">
        <f>'[245]Part 1'!$C$18</f>
        <v>2057</v>
      </c>
      <c r="D139" s="11">
        <f>'[245]Part 1'!$C$22</f>
        <v>35796967.329999998</v>
      </c>
      <c r="E139" s="12">
        <f t="shared" ref="E139" si="758">+D139/D$4</f>
        <v>0.37288496281846389</v>
      </c>
      <c r="F139" s="11">
        <f>'[245]Parts 2 - 3'!$C$49</f>
        <v>88523.17</v>
      </c>
      <c r="M139" s="17">
        <f>IF(F139&gt;0.01,F139,#REF!)/D138</f>
        <v>2.4584172604880279E-3</v>
      </c>
      <c r="N139" s="17">
        <f t="shared" ref="N139" si="759">1-(+M139-1)^12</f>
        <v>2.9105366105836694E-2</v>
      </c>
      <c r="O139" s="20">
        <f t="shared" ref="O139" si="760">AVERAGE(N137:N139)</f>
        <v>2.5300257530070775E-2</v>
      </c>
      <c r="P139" s="20">
        <f t="shared" ref="P139" si="761">AVERAGE(N134:N139)</f>
        <v>2.8653940141508665E-2</v>
      </c>
      <c r="Q139" s="17">
        <f t="shared" ref="Q139" si="762">AVERAGE(N128:N139)</f>
        <v>2.5131070388757299E-2</v>
      </c>
      <c r="R139" s="11">
        <f>'[245]Parts 4 - 6 '!$C$61</f>
        <v>0</v>
      </c>
      <c r="S139" s="18">
        <f>'[245]Parts 7-10'!$C$4</f>
        <v>31948786.539999999</v>
      </c>
      <c r="T139" s="18">
        <f>'[245]Parts 7-10'!$E$4</f>
        <v>1474854.54</v>
      </c>
      <c r="U139" s="18">
        <f>'[245]Parts 7-10'!$F$4</f>
        <v>912708.79</v>
      </c>
      <c r="V139" s="18">
        <f>'[245]Parts 7-10'!$G$4</f>
        <v>543278.53</v>
      </c>
      <c r="W139" s="18">
        <f>'[245]Parts 7-10'!$H$4</f>
        <v>197353.89</v>
      </c>
      <c r="X139" s="18">
        <f>'[245]Parts 7-10'!$J$4</f>
        <v>208699.66</v>
      </c>
      <c r="Y139" s="11">
        <f>'[245]Parts 7-10'!$P$15</f>
        <v>75410.179999999993</v>
      </c>
      <c r="Z139" s="11">
        <f t="shared" ref="Z139" si="763">+Z138+Y139</f>
        <v>1777085.2300000004</v>
      </c>
      <c r="AA139" s="14">
        <f t="shared" ref="AA139" si="764">+Z139/D$4</f>
        <v>1.8511298842861824E-2</v>
      </c>
      <c r="AB139" s="11">
        <f>'[245]Part 11'!$V$6</f>
        <v>15983068.180000035</v>
      </c>
      <c r="AC139" s="14">
        <f t="shared" ref="AC139" si="765">+AB139/AB$4</f>
        <v>0.1849892150462967</v>
      </c>
      <c r="AD139" s="13">
        <f t="shared" ref="AD139" si="766">+AB139*$AD$2</f>
        <v>13319223.483333362</v>
      </c>
      <c r="AE139" s="19">
        <f>'[245]Part 11'!$V$7</f>
        <v>9600000</v>
      </c>
      <c r="AF139" s="12">
        <f t="shared" ref="AF139" si="767">+AE139/$AE$4</f>
        <v>1</v>
      </c>
      <c r="AG139" s="12">
        <f t="shared" ref="AG139" si="768">+AB139/D139</f>
        <v>0.44649224144206395</v>
      </c>
      <c r="AH139" s="11">
        <f>'[245]Parts 4 - 6 '!$C$44</f>
        <v>162587.64000000001</v>
      </c>
      <c r="AI139" s="14">
        <f t="shared" ref="AI139" si="769">((+D139+AH139)-AB139)/D139</f>
        <v>0.5580496975021253</v>
      </c>
      <c r="AK139" s="14">
        <f t="shared" ref="AK139" si="770">+S139/$D139</f>
        <v>0.89249980998320511</v>
      </c>
      <c r="AL139" s="14">
        <f t="shared" ref="AL139" si="771">+T139/$D139</f>
        <v>4.1200544347900214E-2</v>
      </c>
      <c r="AM139" s="14">
        <f t="shared" ref="AM139" si="772">+U139/$D139</f>
        <v>2.5496818811103463E-2</v>
      </c>
      <c r="AN139" s="14">
        <f t="shared" ref="AN139" si="773">+V139/$D139</f>
        <v>1.5176663570176241E-2</v>
      </c>
      <c r="AO139" s="14">
        <f t="shared" ref="AO139" si="774">+W139/$D139</f>
        <v>5.5131455181848784E-3</v>
      </c>
      <c r="AP139" s="14">
        <f t="shared" ref="AP139" si="775">+X139/$D139</f>
        <v>5.8300933170139591E-3</v>
      </c>
      <c r="AQ139" s="14">
        <f t="shared" ref="AQ139" si="776">+Y139/$D139</f>
        <v>2.1066080627674222E-3</v>
      </c>
    </row>
    <row r="140" spans="1:43" ht="14.25" customHeight="1" x14ac:dyDescent="0.25">
      <c r="A140" s="10">
        <f t="shared" si="134"/>
        <v>136</v>
      </c>
      <c r="B140" s="15">
        <f t="shared" si="110"/>
        <v>44635</v>
      </c>
      <c r="C140" s="43">
        <f>'[246]Part 1'!$C$18</f>
        <v>2053</v>
      </c>
      <c r="D140" s="11">
        <f>'[246]Part 1'!$C$22</f>
        <v>35598818.850000001</v>
      </c>
      <c r="E140" s="12">
        <f t="shared" ref="E140" si="777">+D140/D$4</f>
        <v>0.37082091678025625</v>
      </c>
      <c r="F140" s="11">
        <f>'[246]Parts 2 - 3'!$C$49</f>
        <v>81782.41</v>
      </c>
      <c r="M140" s="17">
        <f>IF(F140&gt;0.01,F140,#REF!)/D139</f>
        <v>2.2846183936777644E-3</v>
      </c>
      <c r="N140" s="17">
        <f t="shared" ref="N140" si="778">1-(+M140-1)^12</f>
        <v>2.7073544923515547E-2</v>
      </c>
      <c r="O140" s="20">
        <f t="shared" ref="O140" si="779">AVERAGE(N138:N140)</f>
        <v>3.1290951227927653E-2</v>
      </c>
      <c r="P140" s="20">
        <f t="shared" ref="P140" si="780">AVERAGE(N135:N140)</f>
        <v>2.5896996663616705E-2</v>
      </c>
      <c r="Q140" s="17">
        <f t="shared" ref="Q140" si="781">AVERAGE(N129:N140)</f>
        <v>2.6224144788272081E-2</v>
      </c>
      <c r="R140" s="11">
        <f>'[246]Parts 4 - 6 '!$C$61</f>
        <v>0</v>
      </c>
      <c r="S140" s="18">
        <f>'[246]Parts 7-10'!$C$4</f>
        <v>31724766.110000003</v>
      </c>
      <c r="T140" s="18">
        <f>'[246]Parts 7-10'!$E$4</f>
        <v>1389375.29</v>
      </c>
      <c r="U140" s="18">
        <f>'[246]Parts 7-10'!$F$4</f>
        <v>1022532.82</v>
      </c>
      <c r="V140" s="18">
        <f>'[246]Parts 7-10'!$G$4</f>
        <v>477372.56</v>
      </c>
      <c r="W140" s="18">
        <f>'[246]Parts 7-10'!$H$4</f>
        <v>272925.57</v>
      </c>
      <c r="X140" s="18">
        <f>'[246]Parts 7-10'!$J$4</f>
        <v>95004.93</v>
      </c>
      <c r="Y140" s="11">
        <f>'[246]Parts 7-10'!$P$15</f>
        <v>105696.82</v>
      </c>
      <c r="Z140" s="11">
        <f t="shared" ref="Z140" si="782">+Z139+Y140</f>
        <v>1882782.0500000005</v>
      </c>
      <c r="AA140" s="14">
        <f t="shared" ref="AA140" si="783">+Z140/D$4</f>
        <v>1.9612307049294432E-2</v>
      </c>
      <c r="AB140" s="11">
        <f>'[246]Part 11'!$V$6</f>
        <v>15709518.510000037</v>
      </c>
      <c r="AC140" s="14">
        <f t="shared" ref="AC140" si="784">+AB140/AB$4</f>
        <v>0.18182313090277821</v>
      </c>
      <c r="AD140" s="13">
        <f t="shared" ref="AD140" si="785">+AB140*$AD$2</f>
        <v>13091265.425000031</v>
      </c>
      <c r="AE140" s="19">
        <f>'[246]Part 11'!$V$7</f>
        <v>9600000</v>
      </c>
      <c r="AF140" s="12">
        <f t="shared" ref="AF140" si="786">+AE140/$AE$4</f>
        <v>1</v>
      </c>
      <c r="AG140" s="12">
        <f t="shared" ref="AG140" si="787">+AB140/D140</f>
        <v>0.44129325122257634</v>
      </c>
      <c r="AH140" s="11">
        <f>'[246]Parts 4 - 6 '!$C$44</f>
        <v>159830.68180000037</v>
      </c>
      <c r="AI140" s="14">
        <f t="shared" ref="AI140" si="788">((+D140+AH140)-AB140)/D140</f>
        <v>0.56319652363409711</v>
      </c>
      <c r="AK140" s="14">
        <f t="shared" ref="AK140" si="789">+S140/$D140</f>
        <v>0.89117468317351212</v>
      </c>
      <c r="AL140" s="14">
        <f t="shared" ref="AL140" si="790">+T140/$D140</f>
        <v>3.9028690694888041E-2</v>
      </c>
      <c r="AM140" s="14">
        <f t="shared" ref="AM140" si="791">+U140/$D140</f>
        <v>2.8723785030862054E-2</v>
      </c>
      <c r="AN140" s="14">
        <f t="shared" ref="AN140" si="792">+V140/$D140</f>
        <v>1.340978648790197E-2</v>
      </c>
      <c r="AO140" s="14">
        <f t="shared" ref="AO140" si="793">+W140/$D140</f>
        <v>7.6667029642192748E-3</v>
      </c>
      <c r="AP140" s="14">
        <f t="shared" ref="AP140" si="794">+X140/$D140</f>
        <v>2.6687663543084094E-3</v>
      </c>
      <c r="AQ140" s="14">
        <f t="shared" ref="AQ140" si="795">+Y140/$D140</f>
        <v>2.9691103079955137E-3</v>
      </c>
    </row>
    <row r="141" spans="1:43" ht="14.25" customHeight="1" x14ac:dyDescent="0.25">
      <c r="A141" s="10">
        <f t="shared" si="134"/>
        <v>137</v>
      </c>
      <c r="B141" s="15">
        <f t="shared" si="110"/>
        <v>44666</v>
      </c>
      <c r="C141" s="43">
        <f>'[247]Part 1'!$C$18</f>
        <v>2048</v>
      </c>
      <c r="D141" s="11">
        <f>'[247]Part 1'!$C$22</f>
        <v>35403023.490000002</v>
      </c>
      <c r="E141" s="12">
        <f t="shared" ref="E141" si="796">+D141/D$4</f>
        <v>0.36878138240125202</v>
      </c>
      <c r="F141" s="11">
        <f>'[247]Parts 2 - 3'!$C$49</f>
        <v>71316.11</v>
      </c>
      <c r="M141" s="17">
        <f>IF(F141&gt;0.01,F141,#REF!)/D140</f>
        <v>2.0033279840125933E-3</v>
      </c>
      <c r="N141" s="17">
        <f t="shared" ref="N141" si="797">1-(+M141-1)^12</f>
        <v>2.3776817342545109E-2</v>
      </c>
      <c r="O141" s="20">
        <f t="shared" ref="O141" si="798">AVERAGE(N139:N141)</f>
        <v>2.6651909457299117E-2</v>
      </c>
      <c r="P141" s="20">
        <f t="shared" ref="P141" si="799">AVERAGE(N136:N141)</f>
        <v>2.2626684205671561E-2</v>
      </c>
      <c r="Q141" s="17">
        <f t="shared" ref="Q141" si="800">AVERAGE(N130:N141)</f>
        <v>2.6624931628119169E-2</v>
      </c>
      <c r="R141" s="11">
        <f>'[247]Parts 4 - 6 '!$C$61</f>
        <v>0</v>
      </c>
      <c r="S141" s="18">
        <f>'[247]Parts 7-10'!$C$4</f>
        <v>31650789.120000001</v>
      </c>
      <c r="T141" s="18">
        <f>'[247]Parts 7-10'!$E$4</f>
        <v>1303068.02</v>
      </c>
      <c r="U141" s="18">
        <f>'[247]Parts 7-10'!$F$4</f>
        <v>1141885.45</v>
      </c>
      <c r="V141" s="18">
        <f>'[247]Parts 7-10'!$G$4</f>
        <v>335424.43</v>
      </c>
      <c r="W141" s="18">
        <f>'[247]Parts 7-10'!$H$4</f>
        <v>257074.36</v>
      </c>
      <c r="X141" s="18">
        <f>'[247]Parts 7-10'!$J$4</f>
        <v>152181.03</v>
      </c>
      <c r="Y141" s="11">
        <f>'[247]Parts 7-10'!$P$15</f>
        <v>37741.799999999996</v>
      </c>
      <c r="Z141" s="11">
        <f t="shared" ref="Z141" si="801">+Z140+Y141</f>
        <v>1920523.8500000006</v>
      </c>
      <c r="AA141" s="14">
        <f t="shared" ref="AA141" si="802">+Z141/D$4</f>
        <v>2.0005450679590385E-2</v>
      </c>
      <c r="AB141" s="11">
        <f>'[247]Part 11'!$V$6</f>
        <v>15465689.860000037</v>
      </c>
      <c r="AC141" s="14">
        <f t="shared" ref="AC141" si="803">+AB141/AB$4</f>
        <v>0.17900104004629672</v>
      </c>
      <c r="AD141" s="13">
        <f t="shared" ref="AD141" si="804">+AB141*$AD$2</f>
        <v>12888074.883333365</v>
      </c>
      <c r="AE141" s="19">
        <f>'[247]Part 11'!$V$7</f>
        <v>9600000</v>
      </c>
      <c r="AF141" s="12">
        <f t="shared" ref="AF141" si="805">+AE141/$AE$4</f>
        <v>1</v>
      </c>
      <c r="AG141" s="12">
        <f t="shared" ref="AG141" si="806">+AB141/D141</f>
        <v>0.43684658357974715</v>
      </c>
      <c r="AH141" s="11">
        <f>'[247]Parts 4 - 6 '!$C$44</f>
        <v>157095.19</v>
      </c>
      <c r="AI141" s="14">
        <f t="shared" ref="AI141" si="807">((+D141+AH141)-AB141)/D141</f>
        <v>0.56759075466184039</v>
      </c>
      <c r="AK141" s="14">
        <f t="shared" ref="AK141" si="808">+S141/$D141</f>
        <v>0.894013731028937</v>
      </c>
      <c r="AL141" s="14">
        <f t="shared" ref="AL141" si="809">+T141/$D141</f>
        <v>3.6806687439225827E-2</v>
      </c>
      <c r="AM141" s="14">
        <f t="shared" ref="AM141" si="810">+U141/$D141</f>
        <v>3.2253896346523592E-2</v>
      </c>
      <c r="AN141" s="14">
        <f t="shared" ref="AN141" si="811">+V141/$D141</f>
        <v>9.4744571772166445E-3</v>
      </c>
      <c r="AO141" s="14">
        <f t="shared" ref="AO141" si="812">+W141/$D141</f>
        <v>7.2613673821563191E-3</v>
      </c>
      <c r="AP141" s="14">
        <f t="shared" ref="AP141" si="813">+X141/$D141</f>
        <v>4.2985320178369878E-3</v>
      </c>
      <c r="AQ141" s="14">
        <f t="shared" ref="AQ141" si="814">+Y141/$D141</f>
        <v>1.066061490783707E-3</v>
      </c>
    </row>
    <row r="142" spans="1:43" ht="14.25" customHeight="1" x14ac:dyDescent="0.25">
      <c r="A142" s="10">
        <f t="shared" si="134"/>
        <v>138</v>
      </c>
      <c r="B142" s="15">
        <f t="shared" si="110"/>
        <v>44696</v>
      </c>
      <c r="C142" s="43">
        <f>'[248]Part 1'!$C$18</f>
        <v>2041</v>
      </c>
      <c r="D142" s="11">
        <f>'[248]Part 1'!$C$22</f>
        <v>35161368.520000003</v>
      </c>
      <c r="E142" s="12">
        <f t="shared" ref="E142" si="815">+D142/D$4</f>
        <v>0.36626414389686535</v>
      </c>
      <c r="F142" s="11">
        <f>'[248]Parts 2 - 3'!$C$49</f>
        <v>132559.22</v>
      </c>
      <c r="M142" s="17">
        <f>IF(F142&gt;0.01,F142,#REF!)/D141</f>
        <v>3.74429093711284E-3</v>
      </c>
      <c r="N142" s="17">
        <f t="shared" ref="N142" si="816">1-(+M142-1)^12</f>
        <v>4.4017642023103098E-2</v>
      </c>
      <c r="O142" s="20">
        <f t="shared" ref="O142" si="817">AVERAGE(N140:N142)</f>
        <v>3.1622668096387918E-2</v>
      </c>
      <c r="P142" s="20">
        <f t="shared" ref="P142" si="818">AVERAGE(N137:N142)</f>
        <v>2.8461462813229348E-2</v>
      </c>
      <c r="Q142" s="17">
        <f t="shared" ref="Q142" si="819">AVERAGE(N131:N142)</f>
        <v>2.7987187479156628E-2</v>
      </c>
      <c r="R142" s="11">
        <f>'[248]Parts 4 - 6 '!$C$61</f>
        <v>0</v>
      </c>
      <c r="S142" s="18">
        <f>'[248]Parts 7-10'!$C$4</f>
        <v>31047079.080000002</v>
      </c>
      <c r="T142" s="18">
        <f>'[248]Parts 7-10'!$E$4</f>
        <v>1715741.78</v>
      </c>
      <c r="U142" s="18">
        <f>'[248]Parts 7-10'!$F$4</f>
        <v>896949</v>
      </c>
      <c r="V142" s="18">
        <f>'[248]Parts 7-10'!$G$4</f>
        <v>553818.39</v>
      </c>
      <c r="W142" s="18">
        <f>'[248]Parts 7-10'!$H$4</f>
        <v>171180.67</v>
      </c>
      <c r="X142" s="18">
        <f>'[248]Parts 7-10'!$J$4</f>
        <v>219704.98</v>
      </c>
      <c r="Y142" s="11">
        <f>'[248]Parts 7-10'!$P$15</f>
        <v>40048.68</v>
      </c>
      <c r="Z142" s="11">
        <f t="shared" ref="Z142" si="820">+Z141+Y142</f>
        <v>1960572.5300000005</v>
      </c>
      <c r="AA142" s="14">
        <f t="shared" ref="AA142" si="821">+Z142/D$4</f>
        <v>2.0422624302569709E-2</v>
      </c>
      <c r="AB142" s="11">
        <f>'[248]Part 11'!$V$6</f>
        <v>15167847.960000036</v>
      </c>
      <c r="AC142" s="14">
        <f t="shared" ref="AC142" si="822">+AB142/AB$4</f>
        <v>0.17555379583333375</v>
      </c>
      <c r="AD142" s="13">
        <f t="shared" ref="AD142" si="823">+AB142*$AD$2</f>
        <v>12639873.300000031</v>
      </c>
      <c r="AE142" s="19">
        <f>'[248]Part 11'!$V$7</f>
        <v>9600000</v>
      </c>
      <c r="AF142" s="12">
        <f t="shared" ref="AF142" si="824">+AE142/$AE$4</f>
        <v>1</v>
      </c>
      <c r="AG142" s="12">
        <f t="shared" ref="AG142" si="825">+AB142/D142</f>
        <v>0.43137820279584599</v>
      </c>
      <c r="AH142" s="11">
        <f>'[248]Parts 4 - 6 '!$C$44</f>
        <v>154656.89860000036</v>
      </c>
      <c r="AI142" s="14">
        <f t="shared" ref="AI142" si="826">((+D142+AH142)-AB142)/D142</f>
        <v>0.57302028637308455</v>
      </c>
      <c r="AK142" s="14">
        <f t="shared" ref="AK142" si="827">+S142/$D142</f>
        <v>0.88298835872500903</v>
      </c>
      <c r="AL142" s="14">
        <f t="shared" ref="AL142" si="828">+T142/$D142</f>
        <v>4.8796217332214342E-2</v>
      </c>
      <c r="AM142" s="14">
        <f t="shared" ref="AM142" si="829">+U142/$D142</f>
        <v>2.5509501983400046E-2</v>
      </c>
      <c r="AN142" s="14">
        <f t="shared" ref="AN142" si="830">+V142/$D142</f>
        <v>1.5750763218587031E-2</v>
      </c>
      <c r="AO142" s="14">
        <f t="shared" ref="AO142" si="831">+W142/$D142</f>
        <v>4.8684302461842856E-3</v>
      </c>
      <c r="AP142" s="14">
        <f t="shared" ref="AP142" si="832">+X142/$D142</f>
        <v>6.2484763604986095E-3</v>
      </c>
      <c r="AQ142" s="14">
        <f t="shared" ref="AQ142" si="833">+Y142/$D142</f>
        <v>1.1389966228766114E-3</v>
      </c>
    </row>
    <row r="143" spans="1:43" ht="14.25" customHeight="1" x14ac:dyDescent="0.25">
      <c r="A143" s="10">
        <f t="shared" si="134"/>
        <v>139</v>
      </c>
      <c r="B143" s="15">
        <f t="shared" si="110"/>
        <v>44727</v>
      </c>
      <c r="C143" s="43">
        <f>'[249]Part 1'!$C$18</f>
        <v>2035</v>
      </c>
      <c r="D143" s="11">
        <f>'[249]Part 1'!$C$22</f>
        <v>34969133.740000002</v>
      </c>
      <c r="E143" s="12">
        <f t="shared" ref="E143" si="834">+D143/D$4</f>
        <v>0.36426169888156817</v>
      </c>
      <c r="F143" s="11">
        <f>'[249]Parts 2 - 3'!$C$49</f>
        <v>64405.77</v>
      </c>
      <c r="M143" s="17">
        <f>IF(F143&gt;0.01,F143,#REF!)/D142</f>
        <v>1.8317196602676486E-3</v>
      </c>
      <c r="N143" s="17">
        <f t="shared" ref="N143" si="835">1-(+M143-1)^12</f>
        <v>2.1760539442442939E-2</v>
      </c>
      <c r="O143" s="20">
        <f t="shared" ref="O143" si="836">AVERAGE(N141:N143)</f>
        <v>2.9851666269363714E-2</v>
      </c>
      <c r="P143" s="20">
        <f t="shared" ref="P143" si="837">AVERAGE(N138:N143)</f>
        <v>3.0571308748645682E-2</v>
      </c>
      <c r="Q143" s="17">
        <f t="shared" ref="Q143" si="838">AVERAGE(N132:N143)</f>
        <v>2.7871461005693082E-2</v>
      </c>
      <c r="R143" s="11">
        <f>'[249]Parts 4 - 6 '!$C$61</f>
        <v>0</v>
      </c>
      <c r="S143" s="18">
        <f>'[249]Parts 7-10'!$C$4</f>
        <v>30908869.930000003</v>
      </c>
      <c r="T143" s="18">
        <f>'[249]Parts 7-10'!$E$4</f>
        <v>1606802.7</v>
      </c>
      <c r="U143" s="18">
        <f>'[249]Parts 7-10'!$F$4</f>
        <v>997471.9</v>
      </c>
      <c r="V143" s="18">
        <f>'[249]Parts 7-10'!$G$4</f>
        <v>458154.16</v>
      </c>
      <c r="W143" s="18">
        <f>'[249]Parts 7-10'!$H$4</f>
        <v>294039.7</v>
      </c>
      <c r="X143" s="18">
        <f>'[249]Parts 7-10'!$J$4</f>
        <v>120334.56</v>
      </c>
      <c r="Y143" s="11">
        <f>'[249]Parts 7-10'!$P$15</f>
        <v>68077.72</v>
      </c>
      <c r="Z143" s="11">
        <f t="shared" ref="Z143" si="839">+Z142+Y143</f>
        <v>2028650.2500000005</v>
      </c>
      <c r="AA143" s="14">
        <f t="shared" ref="AA143" si="840">+Z143/D$4</f>
        <v>2.1131767003317196E-2</v>
      </c>
      <c r="AB143" s="11">
        <f>'[249]Part 11'!$V$6</f>
        <v>14883690.610000037</v>
      </c>
      <c r="AC143" s="14">
        <f t="shared" ref="AC143" si="841">+AB143/AB$4</f>
        <v>0.17226493761574116</v>
      </c>
      <c r="AD143" s="13">
        <f t="shared" ref="AD143" si="842">+AB143*$AD$2</f>
        <v>12403075.508333365</v>
      </c>
      <c r="AE143" s="19">
        <f>'[249]Part 11'!$V$7</f>
        <v>9600000</v>
      </c>
      <c r="AF143" s="12">
        <f t="shared" ref="AF143" si="843">+AE143/$AE$4</f>
        <v>1</v>
      </c>
      <c r="AG143" s="12">
        <f t="shared" ref="AG143" si="844">+AB143/D143</f>
        <v>0.42562365772804628</v>
      </c>
      <c r="AH143" s="11">
        <f>'[249]Parts 4 - 6 '!$C$44</f>
        <v>151678.47960000037</v>
      </c>
      <c r="AI143" s="14">
        <f t="shared" ref="AI143" si="845">((+D143+AH143)-AB143)/D143</f>
        <v>0.5787138383256949</v>
      </c>
      <c r="AK143" s="14">
        <f t="shared" ref="AK143" si="846">+S143/$D143</f>
        <v>0.88389006601683129</v>
      </c>
      <c r="AL143" s="14">
        <f t="shared" ref="AL143" si="847">+T143/$D143</f>
        <v>4.5949170830103608E-2</v>
      </c>
      <c r="AM143" s="14">
        <f t="shared" ref="AM143" si="848">+U143/$D143</f>
        <v>2.8524352573796413E-2</v>
      </c>
      <c r="AN143" s="14">
        <f t="shared" ref="AN143" si="849">+V143/$D143</f>
        <v>1.3101673132838661E-2</v>
      </c>
      <c r="AO143" s="14">
        <f t="shared" ref="AO143" si="850">+W143/$D143</f>
        <v>8.4085497280608351E-3</v>
      </c>
      <c r="AP143" s="14">
        <f t="shared" ref="AP143" si="851">+X143/$D143</f>
        <v>3.4411650255537613E-3</v>
      </c>
      <c r="AQ143" s="14">
        <f t="shared" ref="AQ143" si="852">+Y143/$D143</f>
        <v>1.9467945790755524E-3</v>
      </c>
    </row>
    <row r="144" spans="1:43" ht="14.25" customHeight="1" x14ac:dyDescent="0.25">
      <c r="A144" s="10">
        <f t="shared" si="134"/>
        <v>140</v>
      </c>
      <c r="B144" s="15">
        <f t="shared" si="110"/>
        <v>44757</v>
      </c>
      <c r="C144" s="43">
        <f>'[250]Part 1'!$C$18</f>
        <v>2027</v>
      </c>
      <c r="D144" s="11">
        <f>'[250]Part 1'!$C$22</f>
        <v>34746048.090000004</v>
      </c>
      <c r="E144" s="12">
        <f t="shared" ref="E144" si="853">+D144/D$4</f>
        <v>0.36193789073495264</v>
      </c>
      <c r="F144" s="11">
        <f>'[250]Parts 2 - 3'!$C$49</f>
        <v>106640.78</v>
      </c>
      <c r="M144" s="17">
        <f>IF(F144&gt;0.01,F144,#REF!)/D143</f>
        <v>3.0495688224045779E-3</v>
      </c>
      <c r="N144" s="17">
        <f t="shared" ref="N144" si="854">1-(+M144-1)^12</f>
        <v>3.5987231176075163E-2</v>
      </c>
      <c r="O144" s="20">
        <f t="shared" ref="O144" si="855">AVERAGE(N142:N144)</f>
        <v>3.3921804213873731E-2</v>
      </c>
      <c r="P144" s="20">
        <f t="shared" ref="P144" si="856">AVERAGE(N139:N144)</f>
        <v>3.0286856835586424E-2</v>
      </c>
      <c r="Q144" s="17">
        <f t="shared" ref="Q144" si="857">AVERAGE(N133:N144)</f>
        <v>2.8990840768291504E-2</v>
      </c>
      <c r="R144" s="11">
        <f>'[250]Parts 4 - 6 '!$C$61</f>
        <v>0</v>
      </c>
      <c r="S144" s="18">
        <f>'[250]Parts 7-10'!$C$4</f>
        <v>30370529.900000002</v>
      </c>
      <c r="T144" s="18">
        <f>'[250]Parts 7-10'!$E$4</f>
        <v>1504427.55</v>
      </c>
      <c r="U144" s="18">
        <f>'[250]Parts 7-10'!$F$4</f>
        <v>1229729.3</v>
      </c>
      <c r="V144" s="18">
        <f>'[250]Parts 7-10'!$G$4</f>
        <v>598051.87</v>
      </c>
      <c r="W144" s="18">
        <f>'[250]Parts 7-10'!$H$4</f>
        <v>260274.93</v>
      </c>
      <c r="X144" s="18">
        <f>'[250]Parts 7-10'!$J$4</f>
        <v>125992.76</v>
      </c>
      <c r="Y144" s="11">
        <f>'[250]Parts 7-10'!$P$15</f>
        <v>0</v>
      </c>
      <c r="Z144" s="11">
        <f t="shared" ref="Z144" si="858">+Z143+Y144</f>
        <v>2028650.2500000005</v>
      </c>
      <c r="AA144" s="14">
        <f t="shared" ref="AA144" si="859">+Z144/D$4</f>
        <v>2.1131767003317196E-2</v>
      </c>
      <c r="AB144" s="11">
        <f>'[250]Part 11'!$V$6</f>
        <v>14604386.250000037</v>
      </c>
      <c r="AC144" s="14">
        <f t="shared" ref="AC144" si="860">+AB144/AB$4</f>
        <v>0.16903224826388932</v>
      </c>
      <c r="AD144" s="13">
        <f t="shared" ref="AD144" si="861">+AB144*$AD$2</f>
        <v>12170321.875000032</v>
      </c>
      <c r="AE144" s="19">
        <f>'[250]Part 11'!$V$7</f>
        <v>9600000</v>
      </c>
      <c r="AF144" s="12">
        <f t="shared" ref="AF144" si="862">+AE144/$AE$4</f>
        <v>1</v>
      </c>
      <c r="AG144" s="12">
        <f t="shared" ref="AG144" si="863">+AB144/D144</f>
        <v>0.42031790815955311</v>
      </c>
      <c r="AH144" s="11">
        <f>'[250]Parts 4 - 6 '!$C$44</f>
        <v>148836.90610000037</v>
      </c>
      <c r="AI144" s="14">
        <f t="shared" ref="AI144" si="864">((+D144+AH144)-AB144)/D144</f>
        <v>0.58396565541908685</v>
      </c>
      <c r="AK144" s="14">
        <f t="shared" ref="AK144" si="865">+S144/$D144</f>
        <v>0.87407148638410803</v>
      </c>
      <c r="AL144" s="14">
        <f t="shared" ref="AL144" si="866">+T144/$D144</f>
        <v>4.3297803137300611E-2</v>
      </c>
      <c r="AM144" s="14">
        <f t="shared" ref="AM144" si="867">+U144/$D144</f>
        <v>3.5391918436730625E-2</v>
      </c>
      <c r="AN144" s="14">
        <f t="shared" ref="AN144" si="868">+V144/$D144</f>
        <v>1.7212083182838879E-2</v>
      </c>
      <c r="AO144" s="14">
        <f t="shared" ref="AO144" si="869">+W144/$D144</f>
        <v>7.490777924609727E-3</v>
      </c>
      <c r="AP144" s="14">
        <f t="shared" ref="AP144" si="870">+X144/$D144</f>
        <v>3.6261033103290102E-3</v>
      </c>
      <c r="AQ144" s="14">
        <f t="shared" ref="AQ144" si="871">+Y144/$D144</f>
        <v>0</v>
      </c>
    </row>
    <row r="145" spans="1:43" ht="14.25" customHeight="1" x14ac:dyDescent="0.25">
      <c r="A145" s="10">
        <f t="shared" si="134"/>
        <v>141</v>
      </c>
      <c r="B145" s="15">
        <f t="shared" si="110"/>
        <v>44788</v>
      </c>
      <c r="C145" s="43">
        <f>'[251]Part 1'!$C$18</f>
        <v>2025</v>
      </c>
      <c r="D145" s="11">
        <f>'[251]Part 1'!$C$22</f>
        <v>34602279.340000004</v>
      </c>
      <c r="E145" s="12">
        <f t="shared" ref="E145" si="872">+D145/D$4</f>
        <v>0.36044030004510452</v>
      </c>
      <c r="F145" s="11">
        <f>'[251]Parts 2 - 3'!$C$49</f>
        <v>30461.98</v>
      </c>
      <c r="M145" s="17">
        <f>IF(F145&gt;0.01,F145,#REF!)/D144</f>
        <v>8.7670344325480368E-4</v>
      </c>
      <c r="N145" s="17">
        <f t="shared" ref="N145" si="873">1-(+M145-1)^12</f>
        <v>1.0469861083093224E-2</v>
      </c>
      <c r="O145" s="20">
        <f t="shared" ref="O145:O151" si="874">AVERAGE(N143:N145)</f>
        <v>2.2739210567203776E-2</v>
      </c>
      <c r="P145" s="20">
        <f t="shared" ref="P145:P150" si="875">AVERAGE(N140:N145)</f>
        <v>2.7180939331795845E-2</v>
      </c>
      <c r="Q145" s="17">
        <f t="shared" ref="Q145:Q150" si="876">AVERAGE(N134:N145)</f>
        <v>2.7917439736652255E-2</v>
      </c>
      <c r="R145" s="11">
        <f>'[251]Parts 4 - 6 '!$C$61</f>
        <v>0</v>
      </c>
      <c r="S145" s="18">
        <f>'[251]Parts 7-10'!$C$4</f>
        <v>30134345.359999999</v>
      </c>
      <c r="T145" s="18">
        <f>'[251]Parts 7-10'!$E$4</f>
        <v>1581163.74</v>
      </c>
      <c r="U145" s="18">
        <f>'[251]Parts 7-10'!$F$4</f>
        <v>1119134.4099999999</v>
      </c>
      <c r="V145" s="18">
        <f>'[251]Parts 7-10'!$G$4</f>
        <v>732794.25</v>
      </c>
      <c r="W145" s="18">
        <f>'[251]Parts 7-10'!$H$4</f>
        <v>229213.41</v>
      </c>
      <c r="X145" s="18">
        <f>'[251]Parts 7-10'!$J$4</f>
        <v>140211.25</v>
      </c>
      <c r="Y145" s="11">
        <f>'[251]Parts 7-10'!$P$15</f>
        <v>23829.98</v>
      </c>
      <c r="Z145" s="11">
        <f t="shared" ref="Z145" si="877">+Z144+Y145</f>
        <v>2052480.2300000004</v>
      </c>
      <c r="AA145" s="14">
        <f t="shared" ref="AA145" si="878">+Z145/D$4</f>
        <v>2.1379995886070008E-2</v>
      </c>
      <c r="AB145" s="11">
        <f>'[251]Part 11'!$V$6</f>
        <v>14403885.08</v>
      </c>
      <c r="AC145" s="14">
        <f t="shared" ref="AC145" si="879">+AB145/AB$4</f>
        <v>0.16671163287037036</v>
      </c>
      <c r="AD145" s="13">
        <f t="shared" ref="AD145" si="880">+AB145*$AD$2</f>
        <v>12003237.566666666</v>
      </c>
      <c r="AE145" s="19">
        <f>'[251]Part 11'!$V$7</f>
        <v>9600000</v>
      </c>
      <c r="AF145" s="12">
        <f t="shared" ref="AF145" si="881">+AE145/$AE$4</f>
        <v>1</v>
      </c>
      <c r="AG145" s="12">
        <f t="shared" ref="AG145" si="882">+AB145/D145</f>
        <v>0.41626983409006829</v>
      </c>
      <c r="AH145" s="11">
        <f>'[251]Parts 4 - 6 '!$C$44</f>
        <v>146043.85999999999</v>
      </c>
      <c r="AI145" s="14">
        <f t="shared" ref="AI145" si="883">((+D145+AH145)-AB145)/D145</f>
        <v>0.58795080867640903</v>
      </c>
      <c r="AK145" s="14">
        <f t="shared" ref="AK145" si="884">+S145/$D145</f>
        <v>0.87087746630508522</v>
      </c>
      <c r="AL145" s="14">
        <f t="shared" ref="AL145" si="885">+T145/$D145</f>
        <v>4.5695363720510321E-2</v>
      </c>
      <c r="AM145" s="14">
        <f t="shared" ref="AM145" si="886">+U145/$D145</f>
        <v>3.2342794502161251E-2</v>
      </c>
      <c r="AN145" s="14">
        <f t="shared" ref="AN145" si="887">+V145/$D145</f>
        <v>2.1177629450349379E-2</v>
      </c>
      <c r="AO145" s="14">
        <f t="shared" ref="AO145" si="888">+W145/$D145</f>
        <v>6.6242286453953581E-3</v>
      </c>
      <c r="AP145" s="14">
        <f t="shared" ref="AP145" si="889">+X145/$D145</f>
        <v>4.052081327426218E-3</v>
      </c>
      <c r="AQ145" s="14">
        <f t="shared" ref="AQ145" si="890">+Y145/$D145</f>
        <v>6.8868237741935979E-4</v>
      </c>
    </row>
    <row r="146" spans="1:43" ht="14.25" customHeight="1" x14ac:dyDescent="0.25">
      <c r="A146" s="10">
        <f t="shared" si="134"/>
        <v>142</v>
      </c>
      <c r="B146" s="15">
        <f t="shared" si="110"/>
        <v>44819</v>
      </c>
      <c r="C146" s="43">
        <v>2017</v>
      </c>
      <c r="D146" s="11">
        <v>34309486.210000001</v>
      </c>
      <c r="E146" s="12">
        <f t="shared" ref="E146" si="891">+D146/D$4</f>
        <v>0.35739037253624384</v>
      </c>
      <c r="F146" s="11">
        <v>150619.92000000001</v>
      </c>
      <c r="M146" s="17">
        <f>IF(F146&gt;0.01,F146,#REF!)/D145</f>
        <v>4.3528901237984167E-3</v>
      </c>
      <c r="N146" s="17">
        <f t="shared" ref="N146" si="892">1-(+M146-1)^12</f>
        <v>5.1002104895754297E-2</v>
      </c>
      <c r="O146" s="20">
        <f t="shared" si="874"/>
        <v>3.2486399051640892E-2</v>
      </c>
      <c r="P146" s="20">
        <f t="shared" si="875"/>
        <v>3.1169032660502305E-2</v>
      </c>
      <c r="Q146" s="17">
        <f t="shared" si="876"/>
        <v>2.8533014662059503E-2</v>
      </c>
      <c r="R146" s="11">
        <v>0</v>
      </c>
      <c r="S146" s="18">
        <v>30064541</v>
      </c>
      <c r="T146" s="18">
        <v>1546335</v>
      </c>
      <c r="U146" s="18">
        <v>1215477</v>
      </c>
      <c r="V146" s="18">
        <v>471893</v>
      </c>
      <c r="W146" s="18">
        <v>226033</v>
      </c>
      <c r="X146" s="18">
        <v>138518</v>
      </c>
      <c r="Y146" s="11">
        <v>47415.76</v>
      </c>
      <c r="Z146" s="11">
        <f t="shared" ref="Z146" si="893">+Z145+Y146</f>
        <v>2099895.9900000002</v>
      </c>
      <c r="AA146" s="14">
        <f t="shared" ref="AA146" si="894">+Z146/D$4</f>
        <v>2.1873909902350143E-2</v>
      </c>
      <c r="AB146" s="11">
        <v>14031364.220000001</v>
      </c>
      <c r="AC146" s="14">
        <f t="shared" ref="AC146" si="895">+AB146/AB$4</f>
        <v>0.1624000488425926</v>
      </c>
      <c r="AD146" s="13">
        <f t="shared" ref="AD146" si="896">+AB146*$AD$2</f>
        <v>11692803.516666668</v>
      </c>
      <c r="AE146" s="19">
        <v>9600000</v>
      </c>
      <c r="AF146" s="12">
        <f t="shared" ref="AF146" si="897">+AE146/$AE$4</f>
        <v>1</v>
      </c>
      <c r="AG146" s="12">
        <f t="shared" ref="AG146" si="898">+AB146/D146</f>
        <v>0.40896456840296125</v>
      </c>
      <c r="AH146" s="11">
        <v>144038.85</v>
      </c>
      <c r="AI146" s="14">
        <f t="shared" ref="AI146" si="899">((+D146+AH146)-AB146)/D146</f>
        <v>0.59523365389388039</v>
      </c>
      <c r="AK146" s="14">
        <f t="shared" ref="AK146" si="900">+S146/$D146</f>
        <v>0.87627488257860442</v>
      </c>
      <c r="AL146" s="14">
        <f t="shared" ref="AL146" si="901">+T146/$D146</f>
        <v>4.5070188184552239E-2</v>
      </c>
      <c r="AM146" s="14">
        <f t="shared" ref="AM146" si="902">+U146/$D146</f>
        <v>3.5426849372222062E-2</v>
      </c>
      <c r="AN146" s="14">
        <f t="shared" ref="AN146" si="903">+V146/$D146</f>
        <v>1.3754009521205243E-2</v>
      </c>
      <c r="AO146" s="14">
        <f t="shared" ref="AO146" si="904">+W146/$D146</f>
        <v>6.5880613488790568E-3</v>
      </c>
      <c r="AP146" s="14">
        <f t="shared" ref="AP146" si="905">+X146/$D146</f>
        <v>4.0373090740025977E-3</v>
      </c>
      <c r="AQ146" s="14">
        <f t="shared" ref="AQ146" si="906">+Y146/$D146</f>
        <v>1.382001459006984E-3</v>
      </c>
    </row>
    <row r="147" spans="1:43" x14ac:dyDescent="0.25">
      <c r="A147" s="10">
        <f t="shared" si="134"/>
        <v>143</v>
      </c>
      <c r="B147" s="15">
        <f t="shared" si="110"/>
        <v>44849</v>
      </c>
      <c r="C147" s="43">
        <v>2011</v>
      </c>
      <c r="D147" s="11">
        <v>34116746.030000001</v>
      </c>
      <c r="E147" s="12">
        <f t="shared" ref="E147" si="907">+D147/D$4</f>
        <v>0.35538266293921628</v>
      </c>
      <c r="F147" s="11">
        <v>82048.42</v>
      </c>
      <c r="M147" s="17">
        <f>IF(F147&gt;0.01,F147,#REF!)/D146</f>
        <v>2.391420830315022E-3</v>
      </c>
      <c r="N147" s="17">
        <f t="shared" ref="N147" si="908">1-(+M147-1)^12</f>
        <v>2.8322595641299464E-2</v>
      </c>
      <c r="O147" s="20">
        <f t="shared" si="874"/>
        <v>2.9931520540048995E-2</v>
      </c>
      <c r="P147" s="20">
        <f t="shared" si="875"/>
        <v>3.1926662376961366E-2</v>
      </c>
      <c r="Q147" s="17">
        <f t="shared" si="876"/>
        <v>2.7276673291316462E-2</v>
      </c>
      <c r="R147" s="11">
        <v>0</v>
      </c>
      <c r="S147" s="18">
        <v>29775099</v>
      </c>
      <c r="T147" s="18">
        <v>1406736</v>
      </c>
      <c r="U147" s="18">
        <v>1270397</v>
      </c>
      <c r="V147" s="18">
        <v>673385</v>
      </c>
      <c r="W147" s="18">
        <v>153500</v>
      </c>
      <c r="X147" s="18">
        <v>184251</v>
      </c>
      <c r="Y147" s="11">
        <v>0</v>
      </c>
      <c r="Z147" s="11">
        <f t="shared" ref="Z147" si="909">+Z146+Y147</f>
        <v>2099895.9900000002</v>
      </c>
      <c r="AA147" s="14">
        <f t="shared" ref="AA147" si="910">+Z147/D$4</f>
        <v>2.1873909902350143E-2</v>
      </c>
      <c r="AB147" s="11">
        <v>13777856.01</v>
      </c>
      <c r="AC147" s="14">
        <f t="shared" ref="AC147" si="911">+AB147/AB$4</f>
        <v>0.15946592604166668</v>
      </c>
      <c r="AD147" s="13">
        <f t="shared" ref="AD147" si="912">+AB147*$AD$2</f>
        <v>11481546.675000001</v>
      </c>
      <c r="AE147" s="19">
        <v>9600000</v>
      </c>
      <c r="AF147" s="12">
        <f t="shared" ref="AF147" si="913">+AE147/$AE$4</f>
        <v>1</v>
      </c>
      <c r="AG147" s="12">
        <f t="shared" ref="AG147" si="914">+AB147/D147</f>
        <v>0.40384437595205203</v>
      </c>
      <c r="AH147" s="11">
        <v>140313.64000000001</v>
      </c>
      <c r="AI147" s="14">
        <f t="shared" ref="AI147" si="915">((+D147+AH147)-AB147)/D147</f>
        <v>0.60026837383588549</v>
      </c>
      <c r="AK147" s="14">
        <f t="shared" ref="AK147" si="916">+S147/$D147</f>
        <v>0.8727414676012113</v>
      </c>
      <c r="AL147" s="14">
        <f t="shared" ref="AL147" si="917">+T147/$D147</f>
        <v>4.1233006183034271E-2</v>
      </c>
      <c r="AM147" s="14">
        <f t="shared" ref="AM147" si="918">+U147/$D147</f>
        <v>3.7236757540795279E-2</v>
      </c>
      <c r="AN147" s="14">
        <f t="shared" ref="AN147" si="919">+V147/$D147</f>
        <v>1.9737667812981634E-2</v>
      </c>
      <c r="AO147" s="14">
        <f t="shared" ref="AO147" si="920">+W147/$D147</f>
        <v>4.4992567540005808E-3</v>
      </c>
      <c r="AP147" s="14">
        <f t="shared" ref="AP147" si="921">+X147/$D147</f>
        <v>5.4006029718655438E-3</v>
      </c>
      <c r="AQ147" s="14">
        <f t="shared" ref="AQ147:AQ152" si="922">+Y147/$D147</f>
        <v>0</v>
      </c>
    </row>
    <row r="148" spans="1:43" x14ac:dyDescent="0.25">
      <c r="A148" s="10">
        <f t="shared" si="134"/>
        <v>144</v>
      </c>
      <c r="B148" s="15">
        <f t="shared" si="110"/>
        <v>44880</v>
      </c>
      <c r="C148" s="43">
        <v>2002</v>
      </c>
      <c r="D148" s="11">
        <v>33865436.420000002</v>
      </c>
      <c r="E148" s="12">
        <f t="shared" ref="E148" si="923">+D148/D$4</f>
        <v>0.35276485529878415</v>
      </c>
      <c r="F148" s="11">
        <v>125001.33</v>
      </c>
      <c r="M148" s="17">
        <f>IF(F148&gt;0.01,F148,#REF!)/D147</f>
        <v>3.6639288486094816E-3</v>
      </c>
      <c r="N148" s="17">
        <f t="shared" ref="N148" si="924">1-(+M148-1)^12</f>
        <v>4.3091869683828832E-2</v>
      </c>
      <c r="O148" s="20">
        <f t="shared" si="874"/>
        <v>4.0805523406960864E-2</v>
      </c>
      <c r="P148" s="20">
        <f t="shared" si="875"/>
        <v>3.1772366987082322E-2</v>
      </c>
      <c r="Q148" s="17">
        <f t="shared" si="876"/>
        <v>3.0116914900155833E-2</v>
      </c>
      <c r="R148" s="11">
        <v>0</v>
      </c>
      <c r="S148" s="18">
        <v>29386639</v>
      </c>
      <c r="T148" s="18">
        <v>1467774</v>
      </c>
      <c r="U148" s="18">
        <v>1179850</v>
      </c>
      <c r="V148" s="18">
        <v>735479</v>
      </c>
      <c r="W148" s="18">
        <v>259932</v>
      </c>
      <c r="X148" s="18">
        <v>212555</v>
      </c>
      <c r="Y148" s="11">
        <v>15142.58</v>
      </c>
      <c r="Z148" s="11">
        <f t="shared" ref="Z148" si="925">+Z147+Y148</f>
        <v>2115038.5700000003</v>
      </c>
      <c r="AA148" s="14">
        <f t="shared" ref="AA148" si="926">+Z148/D$4</f>
        <v>2.2031645062656407E-2</v>
      </c>
      <c r="AB148" s="11">
        <v>13462946.109999999</v>
      </c>
      <c r="AC148" s="14">
        <f t="shared" ref="AC148" si="927">+AB148/AB$4</f>
        <v>0.1558211355324074</v>
      </c>
      <c r="AD148" s="13">
        <f t="shared" ref="AD148" si="928">+AB148*$AD$2</f>
        <v>11219121.758333333</v>
      </c>
      <c r="AE148" s="19">
        <v>9600000</v>
      </c>
      <c r="AF148" s="12">
        <f t="shared" ref="AF148" si="929">+AE148/$AE$4</f>
        <v>1</v>
      </c>
      <c r="AG148" s="12">
        <f t="shared" ref="AG148" si="930">+AB148/D148</f>
        <v>0.39754237751529908</v>
      </c>
      <c r="AH148" s="11">
        <v>137778.56</v>
      </c>
      <c r="AI148" s="14">
        <f t="shared" ref="AI148" si="931">((+D148+AH148)-AB148)/D148</f>
        <v>0.60652603484151424</v>
      </c>
      <c r="AK148" s="14">
        <f t="shared" ref="AK148" si="932">+S148/$D148</f>
        <v>0.86774724044734453</v>
      </c>
      <c r="AL148" s="14">
        <f t="shared" ref="AL148" si="933">+T148/$D148</f>
        <v>4.3341357890582882E-2</v>
      </c>
      <c r="AM148" s="14">
        <f t="shared" ref="AM148" si="934">+U148/$D148</f>
        <v>3.4839356131941439E-2</v>
      </c>
      <c r="AN148" s="14">
        <f t="shared" ref="AN148" si="935">+V148/$D148</f>
        <v>2.1717688526985766E-2</v>
      </c>
      <c r="AO148" s="14">
        <f t="shared" ref="AO148" si="936">+W148/$D148</f>
        <v>7.6754362996040194E-3</v>
      </c>
      <c r="AP148" s="14">
        <f t="shared" ref="AP148" si="937">+X148/$D148</f>
        <v>6.2764583147220518E-3</v>
      </c>
      <c r="AQ148" s="14">
        <f t="shared" si="922"/>
        <v>4.4713966807341087E-4</v>
      </c>
    </row>
    <row r="149" spans="1:43" x14ac:dyDescent="0.25">
      <c r="A149" s="10">
        <f t="shared" si="134"/>
        <v>145</v>
      </c>
      <c r="B149" s="15">
        <f t="shared" si="110"/>
        <v>44910</v>
      </c>
      <c r="C149" s="43">
        <v>2000</v>
      </c>
      <c r="D149" s="11">
        <v>33742232.18</v>
      </c>
      <c r="E149" s="12">
        <f t="shared" ref="E149" si="938">+D149/D$4</f>
        <v>0.35148147818954573</v>
      </c>
      <c r="F149" s="11">
        <v>9870.0400000000009</v>
      </c>
      <c r="M149" s="17">
        <f>IF(F149&gt;0.01,F149,#REF!)/D148</f>
        <v>2.9144877619740418E-4</v>
      </c>
      <c r="N149" s="17">
        <f t="shared" ref="N149" si="939">1-(+M149-1)^12</f>
        <v>3.4917845595131558E-3</v>
      </c>
      <c r="O149" s="20">
        <f t="shared" si="874"/>
        <v>2.4968749961547149E-2</v>
      </c>
      <c r="P149" s="20">
        <f t="shared" si="875"/>
        <v>2.8727574506594022E-2</v>
      </c>
      <c r="Q149" s="17">
        <f t="shared" si="876"/>
        <v>2.9649441627619854E-2</v>
      </c>
      <c r="R149" s="11">
        <v>0</v>
      </c>
      <c r="S149" s="18">
        <v>29311720</v>
      </c>
      <c r="T149" s="18">
        <v>1292984</v>
      </c>
      <c r="U149" s="18">
        <v>1311609</v>
      </c>
      <c r="V149" s="18">
        <v>550819</v>
      </c>
      <c r="W149" s="18">
        <v>380278</v>
      </c>
      <c r="X149" s="18">
        <v>220930</v>
      </c>
      <c r="Y149" s="11">
        <v>71380.87</v>
      </c>
      <c r="Z149" s="11">
        <f t="shared" ref="Z149:Z154" si="940">+Z148+Y149</f>
        <v>2186419.4400000004</v>
      </c>
      <c r="AA149" s="14">
        <f t="shared" ref="AA149" si="941">+Z149/D$4</f>
        <v>2.2775195565427436E-2</v>
      </c>
      <c r="AB149" s="11">
        <v>13279651.869999999</v>
      </c>
      <c r="AC149" s="14">
        <f t="shared" ref="AC149" si="942">+AB149/AB$4</f>
        <v>0.15369967442129628</v>
      </c>
      <c r="AD149" s="13">
        <f t="shared" ref="AD149" si="943">+AB149*$AD$2</f>
        <v>11066376.558333334</v>
      </c>
      <c r="AE149" s="19">
        <v>9600000</v>
      </c>
      <c r="AF149" s="12">
        <f t="shared" ref="AF149" si="944">+AE149/$AE$4</f>
        <v>1</v>
      </c>
      <c r="AG149" s="12">
        <f t="shared" ref="AG149" si="945">+AB149/D149</f>
        <v>0.39356174775749525</v>
      </c>
      <c r="AH149" s="11">
        <v>134629.465</v>
      </c>
      <c r="AI149" s="14">
        <f t="shared" ref="AI149" si="946">((+D149+AH149)-AB149)/D149</f>
        <v>0.61042819174270779</v>
      </c>
      <c r="AK149" s="14">
        <f t="shared" ref="AK149" si="947">+S149/$D149</f>
        <v>0.86869534426871464</v>
      </c>
      <c r="AL149" s="14">
        <f t="shared" ref="AL149" si="948">+T149/$D149</f>
        <v>3.8319456552325819E-2</v>
      </c>
      <c r="AM149" s="14">
        <f t="shared" ref="AM149" si="949">+U149/$D149</f>
        <v>3.8871435446331516E-2</v>
      </c>
      <c r="AN149" s="14">
        <f t="shared" ref="AN149" si="950">+V149/$D149</f>
        <v>1.6324320129789349E-2</v>
      </c>
      <c r="AO149" s="14">
        <f t="shared" ref="AO149" si="951">+W149/$D149</f>
        <v>1.1270090193540954E-2</v>
      </c>
      <c r="AP149" s="14">
        <f t="shared" ref="AP149" si="952">+X149/$D149</f>
        <v>6.5475810498083062E-3</v>
      </c>
      <c r="AQ149" s="14">
        <f t="shared" si="922"/>
        <v>2.1154756335981088E-3</v>
      </c>
    </row>
    <row r="150" spans="1:43" x14ac:dyDescent="0.25">
      <c r="A150" s="10">
        <f t="shared" si="134"/>
        <v>146</v>
      </c>
      <c r="B150" s="15">
        <f t="shared" si="110"/>
        <v>44941</v>
      </c>
      <c r="C150" s="43">
        <v>1997</v>
      </c>
      <c r="D150" s="11">
        <v>33580504.670000002</v>
      </c>
      <c r="E150" s="12">
        <f t="shared" ref="E150" si="953">+D150/D$4</f>
        <v>0.34979681713998995</v>
      </c>
      <c r="F150" s="11">
        <v>9870.0400000000009</v>
      </c>
      <c r="M150" s="17">
        <f>IF(F150&gt;0.01,F150,#REF!)/D149</f>
        <v>2.9251295371769329E-4</v>
      </c>
      <c r="N150" s="17">
        <f t="shared" ref="N150" si="954">1-(+M150-1)^12</f>
        <v>3.5045137346115807E-3</v>
      </c>
      <c r="O150" s="20">
        <f t="shared" si="874"/>
        <v>1.6696055992651188E-2</v>
      </c>
      <c r="P150" s="20">
        <f t="shared" si="875"/>
        <v>2.3313788266350093E-2</v>
      </c>
      <c r="Q150" s="17">
        <f t="shared" si="876"/>
        <v>2.6800322550968259E-2</v>
      </c>
      <c r="R150" s="11">
        <v>0</v>
      </c>
      <c r="S150" s="18">
        <v>29341326</v>
      </c>
      <c r="T150" s="18">
        <v>1597261</v>
      </c>
      <c r="U150" s="18">
        <v>991972</v>
      </c>
      <c r="V150" s="18">
        <v>546579</v>
      </c>
      <c r="W150" s="18">
        <v>171807</v>
      </c>
      <c r="X150" s="18">
        <v>193030</v>
      </c>
      <c r="Y150" s="11">
        <v>36929.79</v>
      </c>
      <c r="Z150" s="11">
        <f t="shared" si="940"/>
        <v>2223349.2300000004</v>
      </c>
      <c r="AA150" s="14">
        <f t="shared" ref="AA150" si="955">+Z150/D$4</f>
        <v>2.315988076079881E-2</v>
      </c>
      <c r="AB150" s="11">
        <v>13045488.23</v>
      </c>
      <c r="AC150" s="14">
        <f t="shared" ref="AC150" si="956">+AB150/AB$4</f>
        <v>0.15098944710648149</v>
      </c>
      <c r="AD150" s="13">
        <f t="shared" ref="AD150" si="957">+AB150*$AD$2</f>
        <v>10871240.191666668</v>
      </c>
      <c r="AE150" s="19">
        <v>9600000</v>
      </c>
      <c r="AF150" s="12">
        <f t="shared" ref="AF150" si="958">+AE150/$AE$4</f>
        <v>1</v>
      </c>
      <c r="AG150" s="12">
        <f t="shared" ref="AG150" si="959">+AB150/D150</f>
        <v>0.38848398373400622</v>
      </c>
      <c r="AH150" s="11">
        <v>132796.51999999999</v>
      </c>
      <c r="AI150" s="14">
        <f t="shared" ref="AI150" si="960">((+D150+AH150)-AB150)/D150</f>
        <v>0.61547058816135425</v>
      </c>
      <c r="AK150" s="14">
        <f t="shared" ref="AK150" si="961">+S150/$D150</f>
        <v>0.87376072183372577</v>
      </c>
      <c r="AL150" s="14">
        <f t="shared" ref="AL150" si="962">+T150/$D150</f>
        <v>4.756512791265325E-2</v>
      </c>
      <c r="AM150" s="14">
        <f t="shared" ref="AM150" si="963">+U150/$D150</f>
        <v>2.9540115902016311E-2</v>
      </c>
      <c r="AN150" s="14">
        <f t="shared" ref="AN150" si="964">+V150/$D150</f>
        <v>1.6276676165867757E-2</v>
      </c>
      <c r="AO150" s="14">
        <f t="shared" ref="AO150" si="965">+W150/$D150</f>
        <v>5.1162721254004312E-3</v>
      </c>
      <c r="AP150" s="14">
        <f t="shared" ref="AP150" si="966">+X150/$D150</f>
        <v>5.7482757301276733E-3</v>
      </c>
      <c r="AQ150" s="14">
        <f t="shared" si="922"/>
        <v>1.0997389813796386E-3</v>
      </c>
    </row>
    <row r="151" spans="1:43" x14ac:dyDescent="0.25">
      <c r="A151" s="10">
        <f t="shared" si="134"/>
        <v>147</v>
      </c>
      <c r="B151" s="15">
        <f t="shared" si="110"/>
        <v>44972</v>
      </c>
      <c r="C151" s="43">
        <v>1991</v>
      </c>
      <c r="D151" s="11">
        <v>33360900.57</v>
      </c>
      <c r="E151" s="12">
        <f t="shared" ref="E151" si="967">+D151/D$4</f>
        <v>0.34750927512816548</v>
      </c>
      <c r="F151" s="11">
        <v>77290.78</v>
      </c>
      <c r="M151" s="17">
        <f>IF(F151&gt;0.01,F151,#REF!)/D150</f>
        <v>2.3016562961023536E-3</v>
      </c>
      <c r="N151" s="17">
        <f t="shared" ref="N151" si="968">1-(+M151-1)^12</f>
        <v>2.727290120657877E-2</v>
      </c>
      <c r="O151" s="20">
        <f t="shared" si="874"/>
        <v>1.1423066500234502E-2</v>
      </c>
      <c r="P151" s="20">
        <f t="shared" ref="P151" si="969">AVERAGE(N146:N151)</f>
        <v>2.6114294953597683E-2</v>
      </c>
      <c r="Q151" s="17">
        <f t="shared" ref="Q151" si="970">AVERAGE(N140:N151)</f>
        <v>2.6647617142696766E-2</v>
      </c>
      <c r="R151" s="11">
        <v>0</v>
      </c>
      <c r="S151" s="18">
        <v>29364195</v>
      </c>
      <c r="T151" s="18">
        <v>1591749</v>
      </c>
      <c r="U151" s="18">
        <v>840208</v>
      </c>
      <c r="V151" s="18">
        <v>611495</v>
      </c>
      <c r="W151" s="18">
        <v>169531</v>
      </c>
      <c r="X151" s="18">
        <v>117170</v>
      </c>
      <c r="Y151" s="11">
        <v>59952.32</v>
      </c>
      <c r="Z151" s="11">
        <f t="shared" si="940"/>
        <v>2283301.5500000003</v>
      </c>
      <c r="AA151" s="14">
        <f t="shared" ref="AA151" si="971">+Z151/D$4</f>
        <v>2.3784383903983946E-2</v>
      </c>
      <c r="AB151" s="11">
        <v>12755922.68</v>
      </c>
      <c r="AC151" s="14">
        <f t="shared" ref="AC151" si="972">+AB151/AB$4</f>
        <v>0.14763799398148147</v>
      </c>
      <c r="AD151" s="13">
        <f t="shared" ref="AD151" si="973">+AB151*$AD$2</f>
        <v>10629935.566666666</v>
      </c>
      <c r="AE151" s="19">
        <v>9600000</v>
      </c>
      <c r="AF151" s="12">
        <f t="shared" ref="AF151" si="974">+AE151/$AE$4</f>
        <v>1</v>
      </c>
      <c r="AG151" s="12">
        <f t="shared" ref="AG151" si="975">+AB151/D151</f>
        <v>0.38236146093342704</v>
      </c>
      <c r="AH151" s="11">
        <v>130454.88</v>
      </c>
      <c r="AI151" s="14">
        <f t="shared" ref="AI151" si="976">((+D151+AH151)-AB151)/D151</f>
        <v>0.62154895148863176</v>
      </c>
      <c r="AK151" s="14">
        <f t="shared" ref="AK151" si="977">+S151/$D151</f>
        <v>0.88019791127599045</v>
      </c>
      <c r="AL151" s="14">
        <f t="shared" ref="AL151" si="978">+T151/$D151</f>
        <v>4.771301052440384E-2</v>
      </c>
      <c r="AM151" s="14">
        <f t="shared" ref="AM151" si="979">+U151/$D151</f>
        <v>2.5185411234238751E-2</v>
      </c>
      <c r="AN151" s="14">
        <f t="shared" ref="AN151" si="980">+V151/$D151</f>
        <v>1.8329691032078755E-2</v>
      </c>
      <c r="AO151" s="14">
        <f t="shared" ref="AO151" si="981">+W151/$D151</f>
        <v>5.0817273246050142E-3</v>
      </c>
      <c r="AP151" s="14">
        <f t="shared" ref="AP151" si="982">+X151/$D151</f>
        <v>3.5121953543833843E-3</v>
      </c>
      <c r="AQ151" s="14">
        <f t="shared" si="922"/>
        <v>1.7970833813135279E-3</v>
      </c>
    </row>
    <row r="152" spans="1:43" x14ac:dyDescent="0.25">
      <c r="A152" s="10">
        <f t="shared" si="134"/>
        <v>148</v>
      </c>
      <c r="B152" s="15">
        <f t="shared" si="110"/>
        <v>45000</v>
      </c>
      <c r="C152" s="43">
        <v>1986</v>
      </c>
      <c r="D152" s="11">
        <v>33175029.16</v>
      </c>
      <c r="E152" s="12">
        <f t="shared" ref="E152" si="983">+D152/D$4</f>
        <v>0.34557311519685252</v>
      </c>
      <c r="F152" s="11">
        <v>76555.759999999995</v>
      </c>
      <c r="M152" s="17">
        <f>IF(F152&gt;0.01,F152,#REF!)/D151</f>
        <v>2.2947749818493582E-3</v>
      </c>
      <c r="N152" s="17">
        <f t="shared" ref="N152" si="984">1-(+M152-1)^12</f>
        <v>2.7192389158213648E-2</v>
      </c>
      <c r="O152" s="20">
        <f t="shared" ref="O152" si="985">AVERAGE(N150:N152)</f>
        <v>1.9323268033134666E-2</v>
      </c>
      <c r="P152" s="20">
        <f t="shared" ref="P152" si="986">AVERAGE(N147:N152)</f>
        <v>2.214600899734091E-2</v>
      </c>
      <c r="Q152" s="17">
        <f t="shared" ref="Q152" si="987">AVERAGE(N141:N152)</f>
        <v>2.6657520828921605E-2</v>
      </c>
      <c r="R152" s="11">
        <v>0</v>
      </c>
      <c r="S152" s="18">
        <v>29239832</v>
      </c>
      <c r="T152" s="18">
        <v>1602212</v>
      </c>
      <c r="U152" s="18">
        <v>873249</v>
      </c>
      <c r="V152" s="18">
        <v>422046</v>
      </c>
      <c r="W152" s="18">
        <v>258396</v>
      </c>
      <c r="X152" s="18">
        <v>81412</v>
      </c>
      <c r="Y152" s="11">
        <v>54324.47</v>
      </c>
      <c r="Z152" s="11">
        <f t="shared" si="940"/>
        <v>2337626.0200000005</v>
      </c>
      <c r="AA152" s="14">
        <f t="shared" ref="AA152" si="988">+Z152/D$4</f>
        <v>2.4350263627518694E-2</v>
      </c>
      <c r="AB152" s="11">
        <v>12517243.73</v>
      </c>
      <c r="AC152" s="14">
        <f t="shared" ref="AC152" si="989">+AB152/AB$4</f>
        <v>0.14487550613425926</v>
      </c>
      <c r="AD152" s="13">
        <f t="shared" ref="AD152" si="990">+AB152*$AD$2</f>
        <v>10431036.441666668</v>
      </c>
      <c r="AE152" s="19">
        <v>9600000</v>
      </c>
      <c r="AF152" s="12">
        <f t="shared" ref="AF152" si="991">+AE152/$AE$4</f>
        <v>1</v>
      </c>
      <c r="AG152" s="12">
        <f t="shared" ref="AG152" si="992">+AB152/D152</f>
        <v>0.37730920053244049</v>
      </c>
      <c r="AH152" s="11">
        <v>127559.23</v>
      </c>
      <c r="AI152" s="14">
        <f t="shared" ref="AI152" si="993">((+D152+AH152)-AB152)/D152</f>
        <v>0.62653583693187631</v>
      </c>
      <c r="AK152" s="14">
        <f t="shared" ref="AK152" si="994">+S152/$D152</f>
        <v>0.88138074751883655</v>
      </c>
      <c r="AL152" s="14">
        <f t="shared" ref="AL152" si="995">+T152/$D152</f>
        <v>4.8295722432456181E-2</v>
      </c>
      <c r="AM152" s="14">
        <f t="shared" ref="AM152" si="996">+U152/$D152</f>
        <v>2.632247874714453E-2</v>
      </c>
      <c r="AN152" s="14">
        <f t="shared" ref="AN152" si="997">+V152/$D152</f>
        <v>1.2721797408662775E-2</v>
      </c>
      <c r="AO152" s="14">
        <f t="shared" ref="AO152" si="998">+W152/$D152</f>
        <v>7.788870320317753E-3</v>
      </c>
      <c r="AP152" s="14">
        <f t="shared" ref="AP152" si="999">+X152/$D152</f>
        <v>2.4540144217314081E-3</v>
      </c>
      <c r="AQ152" s="14">
        <f t="shared" si="922"/>
        <v>1.6375108440145831E-3</v>
      </c>
    </row>
    <row r="153" spans="1:43" x14ac:dyDescent="0.25">
      <c r="A153" s="10">
        <f t="shared" si="134"/>
        <v>149</v>
      </c>
      <c r="B153" s="15">
        <f t="shared" si="110"/>
        <v>45031</v>
      </c>
      <c r="C153" s="43">
        <v>1977</v>
      </c>
      <c r="D153" s="11">
        <v>32853072.23</v>
      </c>
      <c r="E153" s="12">
        <f t="shared" ref="E153" si="1000">+D153/D$4</f>
        <v>0.34221939819715613</v>
      </c>
      <c r="F153" s="11">
        <v>180063.54</v>
      </c>
      <c r="M153" s="17">
        <f>IF(F153&gt;0.01,F153,#REF!)/D152</f>
        <v>5.4276829458557744E-3</v>
      </c>
      <c r="N153" s="17">
        <f t="shared" ref="N153" si="1001">1-(+M153-1)^12</f>
        <v>6.3222604066911936E-2</v>
      </c>
      <c r="O153" s="20">
        <f t="shared" ref="O153" si="1002">AVERAGE(N151:N153)</f>
        <v>3.9229298143901449E-2</v>
      </c>
      <c r="P153" s="20">
        <f t="shared" ref="P153" si="1003">AVERAGE(N148:N153)</f>
        <v>2.796267706827632E-2</v>
      </c>
      <c r="Q153" s="17">
        <f t="shared" ref="Q153" si="1004">AVERAGE(N142:N153)</f>
        <v>2.9944669722618843E-2</v>
      </c>
      <c r="R153" s="11">
        <v>0</v>
      </c>
      <c r="S153" s="18">
        <v>29022849</v>
      </c>
      <c r="T153" s="18">
        <v>1488698</v>
      </c>
      <c r="U153" s="18">
        <v>1038677</v>
      </c>
      <c r="V153" s="18">
        <v>336324</v>
      </c>
      <c r="W153" s="18">
        <v>146731</v>
      </c>
      <c r="X153" s="18">
        <v>126321</v>
      </c>
      <c r="Y153" s="11">
        <v>75087.95</v>
      </c>
      <c r="Z153" s="11">
        <f t="shared" si="940"/>
        <v>2412713.9700000007</v>
      </c>
      <c r="AA153" s="14">
        <f t="shared" ref="AA153" si="1005">+Z153/D$4</f>
        <v>2.5132429535198803E-2</v>
      </c>
      <c r="AB153" s="11">
        <v>12149712.439999999</v>
      </c>
      <c r="AC153" s="14">
        <f t="shared" ref="AC153" si="1006">+AB153/AB$4</f>
        <v>0.14062167175925924</v>
      </c>
      <c r="AD153" s="13">
        <f t="shared" ref="AD153" si="1007">+AB153*$AD$2</f>
        <v>10124760.366666667</v>
      </c>
      <c r="AE153" s="19">
        <v>9600000</v>
      </c>
      <c r="AF153" s="12">
        <f t="shared" ref="AF153" si="1008">+AE153/$AE$4</f>
        <v>1</v>
      </c>
      <c r="AG153" s="12">
        <f t="shared" ref="AG153" si="1009">+AB153/D153</f>
        <v>0.36981967333044152</v>
      </c>
      <c r="AH153" s="11">
        <v>125172.44</v>
      </c>
      <c r="AI153" s="14">
        <f t="shared" ref="AI153" si="1010">((+D153+AH153)-AB153)/D153</f>
        <v>0.63399039469375085</v>
      </c>
      <c r="AK153" s="14">
        <f t="shared" ref="AK153" si="1011">+S153/$D153</f>
        <v>0.88341354491339152</v>
      </c>
      <c r="AL153" s="14">
        <f t="shared" ref="AL153" si="1012">+T153/$D153</f>
        <v>4.531381386732488E-2</v>
      </c>
      <c r="AM153" s="14">
        <f t="shared" ref="AM153" si="1013">+U153/$D153</f>
        <v>3.1615825537665398E-2</v>
      </c>
      <c r="AN153" s="14">
        <f t="shared" ref="AN153" si="1014">+V153/$D153</f>
        <v>1.0237216100991721E-2</v>
      </c>
      <c r="AO153" s="14">
        <f t="shared" ref="AO153" si="1015">+W153/$D153</f>
        <v>4.4662794082926472E-3</v>
      </c>
      <c r="AP153" s="14">
        <f t="shared" ref="AP153" si="1016">+X153/$D153</f>
        <v>3.8450285293151103E-3</v>
      </c>
      <c r="AQ153" s="14">
        <f t="shared" ref="AQ153" si="1017">+Y153/$D153</f>
        <v>2.2855685907947733E-3</v>
      </c>
    </row>
    <row r="154" spans="1:43" x14ac:dyDescent="0.25">
      <c r="A154" s="10">
        <f t="shared" si="134"/>
        <v>150</v>
      </c>
      <c r="B154" s="15">
        <f t="shared" si="110"/>
        <v>45061</v>
      </c>
      <c r="C154" s="43">
        <v>1970</v>
      </c>
      <c r="D154" s="11">
        <v>32642583.850000001</v>
      </c>
      <c r="E154" s="12">
        <f t="shared" ref="E154" si="1018">+D154/D$4</f>
        <v>0.34002681157308645</v>
      </c>
      <c r="F154" s="11">
        <v>91662.53</v>
      </c>
      <c r="M154" s="17">
        <f>IF(F154&gt;0.01,F154,#REF!)/D153</f>
        <v>2.7900748325235089E-3</v>
      </c>
      <c r="N154" s="17">
        <f t="shared" ref="N154" si="1019">1-(+M154-1)^12</f>
        <v>3.2971868232742119E-2</v>
      </c>
      <c r="O154" s="20">
        <f t="shared" ref="O154" si="1020">AVERAGE(N152:N154)</f>
        <v>4.1128953819289236E-2</v>
      </c>
      <c r="P154" s="20">
        <f t="shared" ref="P154" si="1021">AVERAGE(N149:N154)</f>
        <v>2.6276010159761869E-2</v>
      </c>
      <c r="Q154" s="17">
        <f t="shared" ref="Q154" si="1022">AVERAGE(N143:N154)</f>
        <v>2.9024188573422094E-2</v>
      </c>
      <c r="R154" s="11">
        <v>0</v>
      </c>
      <c r="S154" s="18">
        <v>28883960</v>
      </c>
      <c r="T154" s="18">
        <v>1344866</v>
      </c>
      <c r="U154" s="18">
        <v>1048155</v>
      </c>
      <c r="V154" s="18">
        <v>424681</v>
      </c>
      <c r="W154" s="18">
        <v>157012</v>
      </c>
      <c r="X154" s="18">
        <v>111689</v>
      </c>
      <c r="Y154" s="11">
        <v>38258.800000000003</v>
      </c>
      <c r="Z154" s="11">
        <f t="shared" si="940"/>
        <v>2450972.7700000005</v>
      </c>
      <c r="AA154" s="14">
        <f t="shared" ref="AA154" si="1023">+Z154/D$4</f>
        <v>2.5530958580521679E-2</v>
      </c>
      <c r="AB154" s="11">
        <v>11882883.119999999</v>
      </c>
      <c r="AC154" s="14">
        <f t="shared" ref="AC154" si="1024">+AB154/AB$4</f>
        <v>0.13753336944444444</v>
      </c>
      <c r="AD154" s="13">
        <f t="shared" ref="AD154" si="1025">+AB154*$AD$2</f>
        <v>9902402.5999999996</v>
      </c>
      <c r="AE154" s="19">
        <v>9600000</v>
      </c>
      <c r="AF154" s="12">
        <f t="shared" ref="AF154" si="1026">+AE154/$AE$4</f>
        <v>1</v>
      </c>
      <c r="AG154" s="12">
        <f t="shared" ref="AG154" si="1027">+AB154/D154</f>
        <v>0.36403010174085831</v>
      </c>
      <c r="AH154" s="11">
        <v>121497.12</v>
      </c>
      <c r="AI154" s="14">
        <f t="shared" ref="AI154" si="1028">((+D154+AH154)-AB154)/D154</f>
        <v>0.63969194184975653</v>
      </c>
      <c r="AK154" s="14">
        <f t="shared" ref="AK154" si="1029">+S154/$D154</f>
        <v>0.88485519812795088</v>
      </c>
      <c r="AL154" s="14">
        <f t="shared" ref="AL154:AL159" si="1030">+T154/$D154</f>
        <v>4.1199740994155395E-2</v>
      </c>
      <c r="AM154" s="14">
        <f t="shared" ref="AM154" si="1031">+U154/$D154</f>
        <v>3.2110050013703186E-2</v>
      </c>
      <c r="AN154" s="14">
        <f t="shared" ref="AN154" si="1032">+V154/$D154</f>
        <v>1.3010030148088292E-2</v>
      </c>
      <c r="AO154" s="14">
        <f t="shared" ref="AO154" si="1033">+W154/$D154</f>
        <v>4.8100358942633151E-3</v>
      </c>
      <c r="AP154" s="14">
        <f t="shared" ref="AP154" si="1034">+X154/$D154</f>
        <v>3.4215735039001822E-3</v>
      </c>
      <c r="AQ154" s="14">
        <f t="shared" ref="AQ154" si="1035">+Y154/$D154</f>
        <v>1.1720518257931963E-3</v>
      </c>
    </row>
    <row r="155" spans="1:43" x14ac:dyDescent="0.25">
      <c r="A155" s="10">
        <f t="shared" si="134"/>
        <v>151</v>
      </c>
      <c r="B155" s="15">
        <f t="shared" si="110"/>
        <v>45092</v>
      </c>
      <c r="C155" s="43">
        <v>1962</v>
      </c>
      <c r="D155" s="11">
        <v>32400958.57</v>
      </c>
      <c r="E155" s="12">
        <f t="shared" ref="E155" si="1036">+D155/D$4</f>
        <v>0.33750988233943896</v>
      </c>
      <c r="F155" s="11">
        <v>101226.73</v>
      </c>
      <c r="M155" s="17">
        <f>IF(F155&gt;0.01,F155,#REF!)/D154</f>
        <v>3.1010636432814123E-3</v>
      </c>
      <c r="N155" s="17">
        <f t="shared" ref="N155" si="1037">1-(+M155-1)^12</f>
        <v>3.6584583619707844E-2</v>
      </c>
      <c r="O155" s="20">
        <f t="shared" ref="O155" si="1038">AVERAGE(N153:N155)</f>
        <v>4.4259685306453966E-2</v>
      </c>
      <c r="P155" s="20">
        <f t="shared" ref="P155" si="1039">AVERAGE(N150:N155)</f>
        <v>3.1791476669794316E-2</v>
      </c>
      <c r="Q155" s="17">
        <f t="shared" ref="Q155" si="1040">AVERAGE(N144:N155)</f>
        <v>3.0259525588194169E-2</v>
      </c>
      <c r="R155" s="11">
        <v>0</v>
      </c>
      <c r="S155" s="18">
        <v>28708962</v>
      </c>
      <c r="T155" s="18">
        <v>1732215</v>
      </c>
      <c r="U155" s="18">
        <v>769831</v>
      </c>
      <c r="V155" s="18">
        <v>405589</v>
      </c>
      <c r="W155" s="18">
        <v>174842</v>
      </c>
      <c r="X155" s="18">
        <v>79950</v>
      </c>
      <c r="Y155" s="11">
        <v>38931.81</v>
      </c>
      <c r="Z155" s="11">
        <f t="shared" ref="Z155" si="1041">+Z154+Y155</f>
        <v>2489904.5800000005</v>
      </c>
      <c r="AA155" s="14">
        <f t="shared" ref="AA155" si="1042">+Z155/D$4</f>
        <v>2.5936498144543331E-2</v>
      </c>
      <c r="AB155" s="11">
        <v>11548026.68</v>
      </c>
      <c r="AC155" s="14">
        <f t="shared" ref="AC155" si="1043">+AB155/AB$4</f>
        <v>0.1336577162037037</v>
      </c>
      <c r="AD155" s="13">
        <f t="shared" ref="AD155" si="1044">+AB155*$AD$2</f>
        <v>9623355.5666666664</v>
      </c>
      <c r="AE155" s="19">
        <v>9600000</v>
      </c>
      <c r="AF155" s="12">
        <f t="shared" ref="AF155" si="1045">+AE155/$AE$4</f>
        <v>1</v>
      </c>
      <c r="AG155" s="12">
        <f t="shared" ref="AG155" si="1046">+AB155/D155</f>
        <v>0.35641003197640891</v>
      </c>
      <c r="AH155" s="11">
        <v>118828.83</v>
      </c>
      <c r="AI155" s="14">
        <f t="shared" ref="AI155" si="1047">((+D155+AH155)-AB155)/D155</f>
        <v>0.64725741600181297</v>
      </c>
      <c r="AK155" s="14">
        <f t="shared" ref="AK155" si="1048">+S155/$D155</f>
        <v>0.88605285976266102</v>
      </c>
      <c r="AL155" s="14">
        <f t="shared" si="1030"/>
        <v>5.3461844230863448E-2</v>
      </c>
      <c r="AM155" s="14">
        <f t="shared" ref="AM155" si="1049">+U155/$D155</f>
        <v>2.3759513112454191E-2</v>
      </c>
      <c r="AN155" s="14">
        <f t="shared" ref="AN155" si="1050">+V155/$D155</f>
        <v>1.2517808666794639E-2</v>
      </c>
      <c r="AO155" s="14">
        <f t="shared" ref="AO155" si="1051">+W155/$D155</f>
        <v>5.3961983754976291E-3</v>
      </c>
      <c r="AP155" s="14">
        <f t="shared" ref="AP155" si="1052">+X155/$D155</f>
        <v>2.4675195898069997E-3</v>
      </c>
      <c r="AQ155" s="14">
        <f t="shared" ref="AQ155" si="1053">+Y155/$D155</f>
        <v>1.2015635252238155E-3</v>
      </c>
    </row>
    <row r="156" spans="1:43" x14ac:dyDescent="0.25">
      <c r="A156" s="10">
        <f t="shared" si="134"/>
        <v>152</v>
      </c>
      <c r="B156" s="15">
        <f t="shared" si="110"/>
        <v>45122</v>
      </c>
      <c r="C156" s="43">
        <v>1957</v>
      </c>
      <c r="D156" s="11">
        <v>32167078.02</v>
      </c>
      <c r="E156" s="12">
        <f t="shared" ref="E156" si="1054">+D156/D$4</f>
        <v>0.33507362735206114</v>
      </c>
      <c r="F156" s="11">
        <v>138975.03</v>
      </c>
      <c r="M156" s="17">
        <f>IF(F156&gt;0.01,F156,#REF!)/D155</f>
        <v>4.2892258789120142E-3</v>
      </c>
      <c r="N156" s="17">
        <f t="shared" ref="N156" si="1055">1-(+M156-1)^12</f>
        <v>5.0273672268088987E-2</v>
      </c>
      <c r="O156" s="20">
        <f t="shared" ref="O156" si="1056">AVERAGE(N154:N156)</f>
        <v>3.9943374706846314E-2</v>
      </c>
      <c r="P156" s="20">
        <f t="shared" ref="P156" si="1057">AVERAGE(N151:N156)</f>
        <v>3.9586336425373882E-2</v>
      </c>
      <c r="Q156" s="17">
        <f t="shared" ref="Q156" si="1058">AVERAGE(N145:N156)</f>
        <v>3.1450062345861986E-2</v>
      </c>
      <c r="R156" s="11">
        <v>0</v>
      </c>
      <c r="S156" s="18">
        <v>28452249</v>
      </c>
      <c r="T156" s="18">
        <v>1658352</v>
      </c>
      <c r="U156" s="18">
        <v>955386</v>
      </c>
      <c r="V156" s="18">
        <v>297515</v>
      </c>
      <c r="W156" s="18">
        <v>232537</v>
      </c>
      <c r="X156" s="18">
        <v>107926</v>
      </c>
      <c r="Y156" s="11">
        <v>0</v>
      </c>
      <c r="Z156" s="11">
        <f t="shared" ref="Z156" si="1059">+Z155+Y156</f>
        <v>2489904.5800000005</v>
      </c>
      <c r="AA156" s="14">
        <f t="shared" ref="AA156" si="1060">+Z156/D$4</f>
        <v>2.5936498144543331E-2</v>
      </c>
      <c r="AB156" s="11">
        <v>11338060.779999999</v>
      </c>
      <c r="AC156" s="14">
        <f t="shared" ref="AC156" si="1061">+AB156/AB$4</f>
        <v>0.13122755532407407</v>
      </c>
      <c r="AD156" s="13">
        <f t="shared" ref="AD156" si="1062">+AB156*$AD$2</f>
        <v>9448383.9833333325</v>
      </c>
      <c r="AE156" s="19">
        <v>9600000</v>
      </c>
      <c r="AF156" s="12">
        <f t="shared" ref="AF156" si="1063">+AE156/$AE$4</f>
        <v>1</v>
      </c>
      <c r="AG156" s="12">
        <f t="shared" ref="AG156" si="1064">+AB156/D156</f>
        <v>0.35247406596740055</v>
      </c>
      <c r="AH156" s="11">
        <f t="shared" ref="AH156:AH161" si="1065">AB155*0.01</f>
        <v>115480.2668</v>
      </c>
      <c r="AI156" s="14">
        <f t="shared" ref="AI156" si="1066">((+D156+AH156)-AB156)/D156</f>
        <v>0.65111594823060037</v>
      </c>
      <c r="AK156" s="14">
        <f t="shared" ref="AK156" si="1067">+S156/$D156</f>
        <v>0.88451456431043285</v>
      </c>
      <c r="AL156" s="14">
        <f t="shared" si="1030"/>
        <v>5.1554325169631932E-2</v>
      </c>
      <c r="AM156" s="14">
        <f t="shared" ref="AM156" si="1068">+U156/$D156</f>
        <v>2.9700739352389583E-2</v>
      </c>
      <c r="AN156" s="14">
        <f t="shared" ref="AN156" si="1069">+V156/$D156</f>
        <v>9.2490527058447444E-3</v>
      </c>
      <c r="AO156" s="14">
        <f t="shared" ref="AO156" si="1070">+W156/$D156</f>
        <v>7.2290370874040612E-3</v>
      </c>
      <c r="AP156" s="14">
        <f t="shared" ref="AP156" si="1071">+X156/$D156</f>
        <v>3.3551695286993927E-3</v>
      </c>
      <c r="AQ156" s="14">
        <f t="shared" ref="AQ156" si="1072">+Y156/$D156</f>
        <v>0</v>
      </c>
    </row>
    <row r="157" spans="1:43" x14ac:dyDescent="0.25">
      <c r="A157" s="10">
        <f t="shared" si="134"/>
        <v>153</v>
      </c>
      <c r="B157" s="15">
        <f t="shared" si="110"/>
        <v>45153</v>
      </c>
      <c r="C157" s="43">
        <v>1951</v>
      </c>
      <c r="D157" s="11">
        <v>31989450.129999999</v>
      </c>
      <c r="E157" s="12">
        <f t="shared" ref="E157" si="1073">+D157/D$4</f>
        <v>0.33322333739460258</v>
      </c>
      <c r="F157" s="11">
        <v>48434.58</v>
      </c>
      <c r="M157" s="17">
        <f>IF(F157&gt;0.01,F157,#REF!)/D156</f>
        <v>1.5057189829267559E-3</v>
      </c>
      <c r="N157" s="17">
        <f t="shared" ref="N157" si="1074">1-(+M157-1)^12</f>
        <v>1.7919741764710229E-2</v>
      </c>
      <c r="O157" s="20">
        <f t="shared" ref="O157" si="1075">AVERAGE(N155:N157)</f>
        <v>3.4925999217502356E-2</v>
      </c>
      <c r="P157" s="20">
        <f t="shared" ref="P157" si="1076">AVERAGE(N152:N157)</f>
        <v>3.8027476518395796E-2</v>
      </c>
      <c r="Q157" s="17">
        <f t="shared" ref="Q157" si="1077">AVERAGE(N146:N157)</f>
        <v>3.2070885735996736E-2</v>
      </c>
      <c r="R157" s="11">
        <v>0</v>
      </c>
      <c r="S157" s="18">
        <v>28532661</v>
      </c>
      <c r="T157" s="18">
        <v>1415410</v>
      </c>
      <c r="U157" s="18">
        <v>792179</v>
      </c>
      <c r="V157" s="18">
        <v>459489</v>
      </c>
      <c r="W157" s="18">
        <v>200299</v>
      </c>
      <c r="X157" s="18">
        <v>99174</v>
      </c>
      <c r="Y157" s="11">
        <v>17097.009999999998</v>
      </c>
      <c r="Z157" s="11">
        <f t="shared" ref="Z157" si="1078">+Z156+Y157</f>
        <v>2507001.5900000003</v>
      </c>
      <c r="AA157" s="14">
        <f t="shared" ref="AA157" si="1079">+Z157/D$4</f>
        <v>2.6114591944484143E-2</v>
      </c>
      <c r="AB157" s="11">
        <v>11103467.25</v>
      </c>
      <c r="AC157" s="14">
        <f t="shared" ref="AC157" si="1080">+AB157/AB$4</f>
        <v>0.12851235243055556</v>
      </c>
      <c r="AD157" s="13">
        <f t="shared" ref="AD157" si="1081">+AB157*$AD$2</f>
        <v>9252889.375</v>
      </c>
      <c r="AE157" s="19">
        <v>9600000</v>
      </c>
      <c r="AF157" s="12">
        <f t="shared" ref="AF157" si="1082">+AE157/$AE$4</f>
        <v>1</v>
      </c>
      <c r="AG157" s="12">
        <f t="shared" ref="AG157" si="1083">+AB157/D157</f>
        <v>0.34709778395306229</v>
      </c>
      <c r="AH157" s="11">
        <f t="shared" si="1065"/>
        <v>113380.6078</v>
      </c>
      <c r="AI157" s="14">
        <f t="shared" ref="AI157" si="1084">((+D157+AH157)-AB157)/D157</f>
        <v>0.65644652854181462</v>
      </c>
      <c r="AK157" s="14">
        <f t="shared" ref="AK157" si="1085">+S157/$D157</f>
        <v>0.89193971400095462</v>
      </c>
      <c r="AL157" s="14">
        <f t="shared" si="1030"/>
        <v>4.424614972273673E-2</v>
      </c>
      <c r="AM157" s="14">
        <f t="shared" ref="AM157" si="1086">+U157/$D157</f>
        <v>2.4763757950846652E-2</v>
      </c>
      <c r="AN157" s="14">
        <f t="shared" ref="AN157" si="1087">+V157/$D157</f>
        <v>1.4363766745996268E-2</v>
      </c>
      <c r="AO157" s="14">
        <f t="shared" ref="AO157" si="1088">+W157/$D157</f>
        <v>6.2614080325237523E-3</v>
      </c>
      <c r="AP157" s="14">
        <f t="shared" ref="AP157" si="1089">+X157/$D157</f>
        <v>3.1002095877538612E-3</v>
      </c>
      <c r="AQ157" s="14">
        <f t="shared" ref="AQ157" si="1090">+Y157/$D157</f>
        <v>5.3445776437295697E-4</v>
      </c>
    </row>
    <row r="158" spans="1:43" x14ac:dyDescent="0.25">
      <c r="A158" s="10">
        <f t="shared" si="134"/>
        <v>154</v>
      </c>
      <c r="B158" s="15">
        <f t="shared" si="110"/>
        <v>45184</v>
      </c>
      <c r="C158" s="43">
        <v>1942</v>
      </c>
      <c r="D158" s="11">
        <v>31705229.440000001</v>
      </c>
      <c r="E158" s="12">
        <f t="shared" ref="E158" si="1091">+D158/D$4</f>
        <v>0.33026270610855313</v>
      </c>
      <c r="F158" s="11">
        <v>145316.4</v>
      </c>
      <c r="M158" s="17">
        <f>IF(F158&gt;0.01,F158,#REF!)/D157</f>
        <v>4.5426351315654831E-3</v>
      </c>
      <c r="N158" s="17">
        <f t="shared" ref="N158" si="1092">1-(+M158-1)^12</f>
        <v>5.3170089813585175E-2</v>
      </c>
      <c r="O158" s="20">
        <f t="shared" ref="O158" si="1093">AVERAGE(N156:N158)</f>
        <v>4.045450128212813E-2</v>
      </c>
      <c r="P158" s="20">
        <f t="shared" ref="P158" si="1094">AVERAGE(N153:N158)</f>
        <v>4.2357093294291048E-2</v>
      </c>
      <c r="Q158" s="17">
        <f t="shared" ref="Q158" si="1095">AVERAGE(N147:N158)</f>
        <v>3.2251551145815981E-2</v>
      </c>
      <c r="R158" s="11">
        <v>0</v>
      </c>
      <c r="S158" s="18">
        <v>28460379</v>
      </c>
      <c r="T158" s="18">
        <v>1358064</v>
      </c>
      <c r="U158" s="18">
        <v>703583</v>
      </c>
      <c r="V158" s="18">
        <v>362782</v>
      </c>
      <c r="W158" s="18">
        <v>187555</v>
      </c>
      <c r="X158" s="18">
        <v>118752</v>
      </c>
      <c r="Y158" s="11">
        <v>19056.36</v>
      </c>
      <c r="Z158" s="11">
        <f t="shared" ref="Z158" si="1096">+Z157+Y158</f>
        <v>2526057.9500000002</v>
      </c>
      <c r="AA158" s="14">
        <f t="shared" ref="AA158" si="1097">+Z158/D$4</f>
        <v>2.6313095634043902E-2</v>
      </c>
      <c r="AB158" s="11">
        <v>10749063.279999999</v>
      </c>
      <c r="AC158" s="14">
        <f t="shared" ref="AC158" si="1098">+AB158/AB$4</f>
        <v>0.12441045462962962</v>
      </c>
      <c r="AD158" s="13">
        <f t="shared" ref="AD158" si="1099">+AB158*$AD$2</f>
        <v>8957552.7333333325</v>
      </c>
      <c r="AE158" s="19">
        <v>9600000</v>
      </c>
      <c r="AF158" s="12">
        <f t="shared" ref="AF158" si="1100">+AE158/$AE$4</f>
        <v>1</v>
      </c>
      <c r="AG158" s="12">
        <f t="shared" ref="AG158" si="1101">+AB158/D158</f>
        <v>0.33903124089803144</v>
      </c>
      <c r="AH158" s="11">
        <f t="shared" si="1065"/>
        <v>111034.6725</v>
      </c>
      <c r="AI158" s="14">
        <f t="shared" ref="AI158" si="1102">((+D158+AH158)-AB158)/D158</f>
        <v>0.66447085243045645</v>
      </c>
      <c r="AK158" s="14">
        <f t="shared" ref="AK158" si="1103">+S158/$D158</f>
        <v>0.89765567077378638</v>
      </c>
      <c r="AL158" s="14">
        <f t="shared" si="1030"/>
        <v>4.2834069457533624E-2</v>
      </c>
      <c r="AM158" s="14">
        <f t="shared" ref="AM158" si="1104">+U158/$D158</f>
        <v>2.2191386481888838E-2</v>
      </c>
      <c r="AN158" s="14">
        <f t="shared" ref="AN158" si="1105">+V158/$D158</f>
        <v>1.1442339525930269E-2</v>
      </c>
      <c r="AO158" s="14">
        <f t="shared" ref="AO158" si="1106">+W158/$D158</f>
        <v>5.9155856403731479E-3</v>
      </c>
      <c r="AP158" s="14">
        <f t="shared" ref="AP158" si="1107">+X158/$D158</f>
        <v>3.7455019912323965E-3</v>
      </c>
      <c r="AQ158" s="14">
        <f t="shared" ref="AQ158" si="1108">+Y158/$D158</f>
        <v>6.0104785035739513E-4</v>
      </c>
    </row>
    <row r="159" spans="1:43" x14ac:dyDescent="0.25">
      <c r="A159" s="10">
        <f t="shared" si="134"/>
        <v>155</v>
      </c>
      <c r="B159" s="15">
        <f t="shared" si="110"/>
        <v>45214</v>
      </c>
      <c r="C159" s="43">
        <v>1932</v>
      </c>
      <c r="D159" s="11">
        <v>31457557.059999999</v>
      </c>
      <c r="E159" s="12">
        <f t="shared" ref="E159" si="1109">+D159/D$4</f>
        <v>0.32768278626908492</v>
      </c>
      <c r="F159" s="11">
        <v>139539.70000000001</v>
      </c>
      <c r="M159" s="17">
        <f>IF(F159&gt;0.01,F159,#REF!)/D158</f>
        <v>4.4011572369810296E-3</v>
      </c>
      <c r="N159" s="17">
        <f t="shared" ref="N159" si="1110">1-(+M159-1)^12</f>
        <v>5.1554025477897891E-2</v>
      </c>
      <c r="O159" s="20">
        <f t="shared" ref="O159" si="1111">AVERAGE(N157:N159)</f>
        <v>4.0881285685397763E-2</v>
      </c>
      <c r="P159" s="20">
        <f t="shared" ref="P159" si="1112">AVERAGE(N154:N159)</f>
        <v>4.0412330196122039E-2</v>
      </c>
      <c r="Q159" s="17">
        <f t="shared" ref="Q159" si="1113">AVERAGE(N148:N159)</f>
        <v>3.4187503632199183E-2</v>
      </c>
      <c r="R159" s="11">
        <v>0</v>
      </c>
      <c r="S159" s="18">
        <v>28365175</v>
      </c>
      <c r="T159" s="18">
        <v>1261124</v>
      </c>
      <c r="U159" s="18">
        <v>817950</v>
      </c>
      <c r="V159" s="18">
        <v>197371</v>
      </c>
      <c r="W159" s="18">
        <v>267038</v>
      </c>
      <c r="X159" s="18">
        <v>40323</v>
      </c>
      <c r="Y159" s="11">
        <v>12154.06</v>
      </c>
      <c r="Z159" s="11">
        <f t="shared" ref="Z159" si="1114">+Z158+Y159</f>
        <v>2538212.0100000002</v>
      </c>
      <c r="AA159" s="14">
        <f t="shared" ref="AA159" si="1115">+Z159/D$4</f>
        <v>2.6439700387162059E-2</v>
      </c>
      <c r="AB159" s="11">
        <v>10407649.470000001</v>
      </c>
      <c r="AC159" s="14">
        <f t="shared" ref="AC159" si="1116">+AB159/AB$4</f>
        <v>0.12045890590277779</v>
      </c>
      <c r="AD159" s="13">
        <f t="shared" ref="AD159" si="1117">+AB159*$AD$2</f>
        <v>8673041.2250000015</v>
      </c>
      <c r="AE159" s="19">
        <v>9600000</v>
      </c>
      <c r="AF159" s="12">
        <f t="shared" ref="AF159" si="1118">+AE159/$AE$4</f>
        <v>1</v>
      </c>
      <c r="AG159" s="12">
        <f t="shared" ref="AG159" si="1119">+AB159/D159</f>
        <v>0.33084735251847941</v>
      </c>
      <c r="AH159" s="11">
        <f t="shared" si="1065"/>
        <v>107490.63279999999</v>
      </c>
      <c r="AI159" s="14">
        <f t="shared" ref="AI159" si="1120">((+D159+AH159)-AB159)/D159</f>
        <v>0.67256965257810142</v>
      </c>
      <c r="AK159" s="14">
        <f t="shared" ref="AK159" si="1121">+S159/$D159</f>
        <v>0.90169668756852928</v>
      </c>
      <c r="AL159" s="14">
        <f t="shared" si="1030"/>
        <v>4.0089699196750025E-2</v>
      </c>
      <c r="AM159" s="14">
        <f t="shared" ref="AM159" si="1122">+U159/$D159</f>
        <v>2.6001701226827562E-2</v>
      </c>
      <c r="AN159" s="14">
        <f t="shared" ref="AN159" si="1123">+V159/$D159</f>
        <v>6.2741998567640844E-3</v>
      </c>
      <c r="AO159" s="14">
        <f t="shared" ref="AO159" si="1124">+W159/$D159</f>
        <v>8.4888346380702709E-3</v>
      </c>
      <c r="AP159" s="14">
        <f t="shared" ref="AP159" si="1125">+X159/$D159</f>
        <v>1.2818223590309527E-3</v>
      </c>
      <c r="AQ159" s="14">
        <f t="shared" ref="AQ159" si="1126">+Y159/$D159</f>
        <v>3.8636375916979742E-4</v>
      </c>
    </row>
    <row r="160" spans="1:43" x14ac:dyDescent="0.25">
      <c r="A160" s="10">
        <f t="shared" si="134"/>
        <v>156</v>
      </c>
      <c r="B160" s="15">
        <f t="shared" si="110"/>
        <v>45245</v>
      </c>
      <c r="C160" s="43">
        <v>1928</v>
      </c>
      <c r="D160" s="11">
        <v>31283735.210000001</v>
      </c>
      <c r="E160" s="12">
        <f t="shared" ref="E160" si="1127">+D160/D$4</f>
        <v>0.32587214254955493</v>
      </c>
      <c r="F160" s="11">
        <v>53577.72</v>
      </c>
      <c r="M160" s="17">
        <f>IF(F160&gt;0.01,F160,#REF!)/D159</f>
        <v>1.7031748491406855E-3</v>
      </c>
      <c r="N160" s="17">
        <f t="shared" ref="N160" si="1128">1-(+M160-1)^12</f>
        <v>2.0247727861374964E-2</v>
      </c>
      <c r="O160" s="20">
        <f t="shared" ref="O160" si="1129">AVERAGE(N158:N160)</f>
        <v>4.1657281050952677E-2</v>
      </c>
      <c r="P160" s="20">
        <f t="shared" ref="P160" si="1130">AVERAGE(N155:N160)</f>
        <v>3.8291640134227513E-2</v>
      </c>
      <c r="Q160" s="17">
        <f t="shared" ref="Q160" si="1131">AVERAGE(N149:N160)</f>
        <v>3.2283825146994689E-2</v>
      </c>
      <c r="R160" s="11">
        <v>0</v>
      </c>
      <c r="S160" s="18">
        <v>27660850</v>
      </c>
      <c r="T160" s="18">
        <v>1336619</v>
      </c>
      <c r="U160" s="18">
        <v>935334</v>
      </c>
      <c r="V160" s="18">
        <v>483731</v>
      </c>
      <c r="W160" s="18">
        <v>119889</v>
      </c>
      <c r="X160" s="18">
        <v>228170</v>
      </c>
      <c r="Y160" s="11">
        <v>37871.81</v>
      </c>
      <c r="Z160" s="11">
        <f t="shared" ref="Z160" si="1132">+Z159+Y160</f>
        <v>2576083.8200000003</v>
      </c>
      <c r="AA160" s="14">
        <f t="shared" ref="AA160" si="1133">+Z160/D$4</f>
        <v>2.6834198287879002E-2</v>
      </c>
      <c r="AB160" s="11">
        <v>10173648.57</v>
      </c>
      <c r="AC160" s="14">
        <f t="shared" ref="AC160" si="1134">+AB160/AB$4</f>
        <v>0.11775056215277778</v>
      </c>
      <c r="AD160" s="13">
        <f t="shared" ref="AD160" si="1135">+AB160*$AD$2</f>
        <v>8478040.4750000015</v>
      </c>
      <c r="AE160" s="19">
        <v>9600000</v>
      </c>
      <c r="AF160" s="12">
        <f t="shared" ref="AF160" si="1136">+AE160/$AE$4</f>
        <v>1</v>
      </c>
      <c r="AG160" s="12">
        <f t="shared" ref="AG160" si="1137">+AB160/D160</f>
        <v>0.32520568601245364</v>
      </c>
      <c r="AH160" s="11">
        <f t="shared" si="1065"/>
        <v>104076.49470000001</v>
      </c>
      <c r="AI160" s="14">
        <f t="shared" ref="AI160" si="1138">((+D160+AH160)-AB160)/D160</f>
        <v>0.67812117038756892</v>
      </c>
      <c r="AK160" s="14">
        <f t="shared" ref="AK160" si="1139">+S160/$D160</f>
        <v>0.88419269036512216</v>
      </c>
      <c r="AL160" s="14">
        <f t="shared" ref="AL160" si="1140">+T160/$D160</f>
        <v>4.2725684481971421E-2</v>
      </c>
      <c r="AM160" s="14">
        <f t="shared" ref="AM160" si="1141">+U160/$D160</f>
        <v>2.9898411865505622E-2</v>
      </c>
      <c r="AN160" s="14">
        <f t="shared" ref="AN160" si="1142">+V160/$D160</f>
        <v>1.5462699602615643E-2</v>
      </c>
      <c r="AO160" s="14">
        <f t="shared" ref="AO160" si="1143">+W160/$D160</f>
        <v>3.8323109179647093E-3</v>
      </c>
      <c r="AP160" s="14">
        <f t="shared" ref="AP160" si="1144">+X160/$D160</f>
        <v>7.293566400186904E-3</v>
      </c>
      <c r="AQ160" s="14">
        <f t="shared" ref="AQ160" si="1145">+Y160/$D160</f>
        <v>1.2105910546095558E-3</v>
      </c>
    </row>
    <row r="161" spans="1:43" x14ac:dyDescent="0.25">
      <c r="A161" s="10">
        <f t="shared" si="134"/>
        <v>157</v>
      </c>
      <c r="B161" s="15">
        <f t="shared" si="110"/>
        <v>45275</v>
      </c>
      <c r="C161" s="43">
        <v>1927</v>
      </c>
      <c r="D161" s="11">
        <v>31156803.539999999</v>
      </c>
      <c r="E161" s="12">
        <f t="shared" ref="E161" si="1146">+D161/D$4</f>
        <v>0.32454993805630528</v>
      </c>
      <c r="F161" s="11">
        <v>14695.92</v>
      </c>
      <c r="M161" s="17">
        <f>IF(F161&gt;0.01,F161,#REF!)/D160</f>
        <v>4.697623190245638E-4</v>
      </c>
      <c r="N161" s="17">
        <f t="shared" ref="N161" si="1147">1-(+M161-1)^12</f>
        <v>5.6226059526306438E-3</v>
      </c>
      <c r="O161" s="20">
        <f t="shared" ref="O161" si="1148">AVERAGE(N159:N161)</f>
        <v>2.5808119763967834E-2</v>
      </c>
      <c r="P161" s="20">
        <f t="shared" ref="P161" si="1149">AVERAGE(N156:N161)</f>
        <v>3.3131310523047984E-2</v>
      </c>
      <c r="Q161" s="17">
        <f t="shared" ref="Q161" si="1150">AVERAGE(N150:N161)</f>
        <v>3.2461393596421147E-2</v>
      </c>
      <c r="R161" s="11">
        <v>0</v>
      </c>
      <c r="S161" s="18">
        <v>27658694</v>
      </c>
      <c r="T161" s="18">
        <v>1340036</v>
      </c>
      <c r="U161" s="18">
        <v>827164</v>
      </c>
      <c r="V161" s="18">
        <v>452712</v>
      </c>
      <c r="W161" s="18">
        <v>190929</v>
      </c>
      <c r="X161" s="18">
        <v>74391</v>
      </c>
      <c r="Y161" s="11">
        <v>73631.62</v>
      </c>
      <c r="Z161" s="11">
        <f t="shared" ref="Z161" si="1151">+Z160+Y161</f>
        <v>2649715.4400000004</v>
      </c>
      <c r="AA161" s="14">
        <f t="shared" ref="AA161" si="1152">+Z161/D$4</f>
        <v>2.7601194096011427E-2</v>
      </c>
      <c r="AB161" s="11">
        <v>9972906.5999999996</v>
      </c>
      <c r="AC161" s="14">
        <f t="shared" ref="AC161" si="1153">+AB161/AB$4</f>
        <v>0.11542715972222221</v>
      </c>
      <c r="AD161" s="13">
        <f t="shared" ref="AD161" si="1154">+AB161*$AD$2</f>
        <v>8310755.5</v>
      </c>
      <c r="AE161" s="19">
        <v>9600000</v>
      </c>
      <c r="AF161" s="12">
        <f t="shared" ref="AF161" si="1155">+AE161/$AE$4</f>
        <v>1</v>
      </c>
      <c r="AG161" s="12">
        <f t="shared" ref="AG161" si="1156">+AB161/D161</f>
        <v>0.32008760421127591</v>
      </c>
      <c r="AH161" s="11">
        <f t="shared" si="1065"/>
        <v>101736.4857</v>
      </c>
      <c r="AI161" s="14">
        <f t="shared" ref="AI161" si="1157">((+D161+AH161)-AB161)/D161</f>
        <v>0.68317770140871137</v>
      </c>
      <c r="AK161" s="14">
        <f t="shared" ref="AK161" si="1158">+S161/$D161</f>
        <v>0.88772566044815782</v>
      </c>
      <c r="AL161" s="14">
        <f t="shared" ref="AL161" si="1159">+T161/$D161</f>
        <v>4.3009418417381082E-2</v>
      </c>
      <c r="AM161" s="14">
        <f t="shared" ref="AM161" si="1160">+U161/$D161</f>
        <v>2.6548423009377809E-2</v>
      </c>
      <c r="AN161" s="14">
        <f t="shared" ref="AN161" si="1161">+V161/$D161</f>
        <v>1.4530116974894274E-2</v>
      </c>
      <c r="AO161" s="14">
        <f t="shared" ref="AO161" si="1162">+W161/$D161</f>
        <v>6.1280034633488592E-3</v>
      </c>
      <c r="AP161" s="14">
        <f t="shared" ref="AP161" si="1163">+X161/$D161</f>
        <v>2.3876326050101607E-3</v>
      </c>
      <c r="AQ161" s="14">
        <f t="shared" ref="AQ161" si="1164">+Y161/$D161</f>
        <v>2.3632597581927685E-3</v>
      </c>
    </row>
    <row r="162" spans="1:43" x14ac:dyDescent="0.25">
      <c r="A162" s="10">
        <f t="shared" si="134"/>
        <v>158</v>
      </c>
      <c r="B162" s="15">
        <f t="shared" si="110"/>
        <v>45306</v>
      </c>
      <c r="C162" s="43">
        <v>1923</v>
      </c>
      <c r="D162" s="11">
        <v>30970154.129999999</v>
      </c>
      <c r="E162" s="12">
        <f t="shared" ref="E162" si="1165">+D162/D$4</f>
        <v>0.3226056739607932</v>
      </c>
      <c r="F162" s="11">
        <v>73285.02</v>
      </c>
      <c r="M162" s="17">
        <f>IF(F162&gt;0.01,F162,#REF!)/D161</f>
        <v>2.35213538211372E-3</v>
      </c>
      <c r="N162" s="17">
        <f t="shared" ref="N162" si="1166">1-(+M162-1)^12</f>
        <v>2.7863324717011029E-2</v>
      </c>
      <c r="O162" s="20">
        <f t="shared" ref="O162" si="1167">AVERAGE(N160:N162)</f>
        <v>1.7911219510338878E-2</v>
      </c>
      <c r="P162" s="20">
        <f t="shared" ref="P162" si="1168">AVERAGE(N157:N162)</f>
        <v>2.9396252597868322E-2</v>
      </c>
      <c r="Q162" s="17">
        <f t="shared" ref="Q162" si="1169">AVERAGE(N151:N162)</f>
        <v>3.4491294511621105E-2</v>
      </c>
      <c r="R162" s="11">
        <v>12756.1</v>
      </c>
      <c r="S162" s="18">
        <v>27477447</v>
      </c>
      <c r="T162" s="18">
        <v>1170215</v>
      </c>
      <c r="U162" s="18">
        <v>866692</v>
      </c>
      <c r="V162" s="18">
        <v>454230</v>
      </c>
      <c r="W162" s="18">
        <v>258379</v>
      </c>
      <c r="X162" s="18">
        <v>106017</v>
      </c>
      <c r="Y162" s="11">
        <v>44791.77</v>
      </c>
      <c r="Z162" s="11">
        <f t="shared" ref="Z162" si="1170">+Z161+Y162</f>
        <v>2694507.2100000004</v>
      </c>
      <c r="AA162" s="14">
        <f t="shared" ref="AA162" si="1171">+Z162/D$4</f>
        <v>2.8067774891447295E-2</v>
      </c>
      <c r="AB162" s="11">
        <v>9738964.9800000004</v>
      </c>
      <c r="AC162" s="14">
        <f t="shared" ref="AC162" si="1172">+AB162/AB$4</f>
        <v>0.11271950208333334</v>
      </c>
      <c r="AD162" s="13">
        <f t="shared" ref="AD162" si="1173">+AB162*$AD$2</f>
        <v>8115804.1500000004</v>
      </c>
      <c r="AE162" s="19">
        <v>9600000</v>
      </c>
      <c r="AF162" s="12">
        <f t="shared" ref="AF162" si="1174">+AE162/$AE$4</f>
        <v>1</v>
      </c>
      <c r="AG162" s="12">
        <f t="shared" ref="AG162" si="1175">+AB162/D162</f>
        <v>0.31446291610690158</v>
      </c>
      <c r="AH162" s="11">
        <f t="shared" ref="AH162" si="1176">AB161*0.01</f>
        <v>99729.065999999992</v>
      </c>
      <c r="AI162" s="14">
        <f t="shared" ref="AI162" si="1177">((+D162+AH162)-AB162)/D162</f>
        <v>0.68875725081837036</v>
      </c>
      <c r="AK162" s="14">
        <f t="shared" ref="AK162" si="1178">+S162/$D162</f>
        <v>0.88722345018565141</v>
      </c>
      <c r="AL162" s="14">
        <f t="shared" ref="AL162" si="1179">+T162/$D162</f>
        <v>3.7785249472376457E-2</v>
      </c>
      <c r="AM162" s="14">
        <f t="shared" ref="AM162" si="1180">+U162/$D162</f>
        <v>2.7984749328724121E-2</v>
      </c>
      <c r="AN162" s="14">
        <f t="shared" ref="AN162" si="1181">+V162/$D162</f>
        <v>1.4666701305176876E-2</v>
      </c>
      <c r="AO162" s="14">
        <f t="shared" ref="AO162" si="1182">+W162/$D162</f>
        <v>8.3428386864150238E-3</v>
      </c>
      <c r="AP162" s="14">
        <f t="shared" ref="AP162" si="1183">+X162/$D162</f>
        <v>3.4231989790875477E-3</v>
      </c>
      <c r="AQ162" s="14">
        <f t="shared" ref="AQ162" si="1184">+Y162/$D162</f>
        <v>1.4462882493894776E-3</v>
      </c>
    </row>
    <row r="163" spans="1:43" x14ac:dyDescent="0.25">
      <c r="A163" s="10">
        <f t="shared" si="134"/>
        <v>159</v>
      </c>
      <c r="B163" s="15">
        <f t="shared" si="110"/>
        <v>45337</v>
      </c>
      <c r="C163" s="43">
        <v>1917</v>
      </c>
      <c r="D163" s="11">
        <v>30721072.41</v>
      </c>
      <c r="E163" s="12">
        <f t="shared" ref="E163" si="1185">+D163/D$4</f>
        <v>0.320011073500795</v>
      </c>
      <c r="F163" s="11">
        <v>104724.83</v>
      </c>
      <c r="M163" s="17">
        <f>IF(F163&gt;0.01,F163,#REF!)/D162</f>
        <v>3.3814759061387986E-3</v>
      </c>
      <c r="N163" s="17">
        <f t="shared" ref="N163" si="1186">1-(+M163-1)^12</f>
        <v>3.9831483786785138E-2</v>
      </c>
      <c r="O163" s="20">
        <f t="shared" ref="O163" si="1187">AVERAGE(N161:N163)</f>
        <v>2.443913815214227E-2</v>
      </c>
      <c r="P163" s="20">
        <f t="shared" ref="P163" si="1188">AVERAGE(N158:N163)</f>
        <v>3.3048209601547474E-2</v>
      </c>
      <c r="Q163" s="17">
        <f t="shared" ref="Q163" si="1189">AVERAGE(N152:N163)</f>
        <v>3.5537843059971631E-2</v>
      </c>
      <c r="R163" s="11">
        <v>0</v>
      </c>
      <c r="S163" s="18">
        <v>27354437</v>
      </c>
      <c r="T163" s="18">
        <v>1334490</v>
      </c>
      <c r="U163" s="18">
        <v>581703</v>
      </c>
      <c r="V163" s="18">
        <v>484722</v>
      </c>
      <c r="W163" s="18">
        <v>198355</v>
      </c>
      <c r="X163" s="18">
        <v>95576</v>
      </c>
      <c r="Y163" s="11">
        <v>55362.86</v>
      </c>
      <c r="Z163" s="11">
        <f t="shared" ref="Z163" si="1190">+Z162+Y163</f>
        <v>2749870.0700000003</v>
      </c>
      <c r="AA163" s="14">
        <f t="shared" ref="AA163" si="1191">+Z163/D$4</f>
        <v>2.8644471174188623E-2</v>
      </c>
      <c r="AB163" s="11">
        <v>9421264.4800000004</v>
      </c>
      <c r="AC163" s="14">
        <f t="shared" ref="AC163" si="1192">+AB163/AB$4</f>
        <v>0.10904241296296296</v>
      </c>
      <c r="AD163" s="13">
        <f t="shared" ref="AD163" si="1193">+AB163*$AD$2</f>
        <v>7851053.7333333343</v>
      </c>
      <c r="AE163" s="19">
        <v>9600000</v>
      </c>
      <c r="AF163" s="12">
        <f t="shared" ref="AF163" si="1194">+AE163/$AE$4</f>
        <v>1</v>
      </c>
      <c r="AG163" s="12">
        <f t="shared" ref="AG163" si="1195">+AB163/D163</f>
        <v>0.30667108082246797</v>
      </c>
      <c r="AH163" s="11">
        <f t="shared" ref="AH163" si="1196">AB162*0.01</f>
        <v>97389.649799999999</v>
      </c>
      <c r="AI163" s="14">
        <f t="shared" ref="AI163" si="1197">((+D163+AH163)-AB163)/D163</f>
        <v>0.69649904450715094</v>
      </c>
      <c r="AK163" s="14">
        <f t="shared" ref="AK163" si="1198">+S163/$D163</f>
        <v>0.8904128291789668</v>
      </c>
      <c r="AL163" s="14">
        <f t="shared" ref="AL163" si="1199">+T163/$D163</f>
        <v>4.3438913270671203E-2</v>
      </c>
      <c r="AM163" s="14">
        <f t="shared" ref="AM163" si="1200">+U163/$D163</f>
        <v>1.8934983526507694E-2</v>
      </c>
      <c r="AN163" s="14">
        <f t="shared" ref="AN163" si="1201">+V163/$D163</f>
        <v>1.5778160134872713E-2</v>
      </c>
      <c r="AO163" s="14">
        <f t="shared" ref="AO163" si="1202">+W163/$D163</f>
        <v>6.4566430934694056E-3</v>
      </c>
      <c r="AP163" s="14">
        <f t="shared" ref="AP163" si="1203">+X163/$D163</f>
        <v>3.1110893110908818E-3</v>
      </c>
      <c r="AQ163" s="14">
        <f t="shared" ref="AQ163" si="1204">+Y163/$D163</f>
        <v>1.8021135219869104E-3</v>
      </c>
    </row>
    <row r="164" spans="1:43" x14ac:dyDescent="0.25">
      <c r="A164" s="10">
        <f t="shared" si="134"/>
        <v>160</v>
      </c>
      <c r="B164" s="15">
        <f t="shared" si="110"/>
        <v>45366</v>
      </c>
      <c r="C164" s="43">
        <v>1910</v>
      </c>
      <c r="D164" s="11">
        <v>30473392.239999998</v>
      </c>
      <c r="E164" s="12">
        <f t="shared" ref="E164" si="1205">+D164/D$4</f>
        <v>0.31743107251551822</v>
      </c>
      <c r="F164" s="11">
        <v>136429.98000000001</v>
      </c>
      <c r="M164" s="17">
        <f>IF(F164&gt;0.01,F164,#REF!)/D163</f>
        <v>4.4409250490744833E-3</v>
      </c>
      <c r="N164" s="17">
        <f t="shared" ref="N164" si="1206">1-(+M164-1)^12</f>
        <v>5.2008537893143303E-2</v>
      </c>
      <c r="O164" s="20">
        <f t="shared" ref="O164" si="1207">AVERAGE(N162:N164)</f>
        <v>3.9901115465646488E-2</v>
      </c>
      <c r="P164" s="20">
        <f t="shared" ref="P164" si="1208">AVERAGE(N159:N164)</f>
        <v>3.2854617614807159E-2</v>
      </c>
      <c r="Q164" s="17">
        <f t="shared" ref="Q164" si="1209">AVERAGE(N153:N164)</f>
        <v>3.7605855454549107E-2</v>
      </c>
      <c r="R164" s="11">
        <v>0</v>
      </c>
      <c r="S164" s="18">
        <v>27189018</v>
      </c>
      <c r="T164" s="18">
        <v>1184384</v>
      </c>
      <c r="U164" s="18">
        <v>714462</v>
      </c>
      <c r="V164" s="18">
        <v>387090</v>
      </c>
      <c r="W164" s="18">
        <v>267417</v>
      </c>
      <c r="X164" s="18">
        <v>78571</v>
      </c>
      <c r="Y164" s="11">
        <v>40123.040000000001</v>
      </c>
      <c r="Z164" s="11">
        <f t="shared" ref="Z164" si="1210">+Z163+Y164</f>
        <v>2789993.1100000003</v>
      </c>
      <c r="AA164" s="14">
        <f t="shared" ref="AA164" si="1211">+Z164/D$4</f>
        <v>2.9062419380265436E-2</v>
      </c>
      <c r="AB164" s="11">
        <v>9117058.2599999998</v>
      </c>
      <c r="AC164" s="14">
        <f t="shared" ref="AC164" si="1212">+AB164/AB$4</f>
        <v>0.10552150763888889</v>
      </c>
      <c r="AD164" s="13">
        <f t="shared" ref="AD164" si="1213">+AB164*$AD$2</f>
        <v>7597548.5499999998</v>
      </c>
      <c r="AE164" s="19">
        <v>9600000</v>
      </c>
      <c r="AF164" s="12">
        <f t="shared" ref="AF164" si="1214">+AE164/$AE$4</f>
        <v>1</v>
      </c>
      <c r="AG164" s="12">
        <f t="shared" ref="AG164" si="1215">+AB164/D164</f>
        <v>0.2991809440903912</v>
      </c>
      <c r="AH164" s="11">
        <f t="shared" ref="AH164" si="1216">AB163*0.01</f>
        <v>94212.644800000009</v>
      </c>
      <c r="AI164" s="14">
        <f t="shared" ref="AI164" si="1217">((+D164+AH164)-AB164)/D164</f>
        <v>0.70391069218226288</v>
      </c>
      <c r="AK164" s="14">
        <f t="shared" ref="AK164" si="1218">+S164/$D164</f>
        <v>0.89222157434481941</v>
      </c>
      <c r="AL164" s="14">
        <f t="shared" ref="AL164" si="1219">+T164/$D164</f>
        <v>3.8866168579858772E-2</v>
      </c>
      <c r="AM164" s="14">
        <f t="shared" ref="AM164" si="1220">+U164/$D164</f>
        <v>2.3445437067625918E-2</v>
      </c>
      <c r="AN164" s="14">
        <f t="shared" ref="AN164" si="1221">+V164/$D164</f>
        <v>1.2702556937258129E-2</v>
      </c>
      <c r="AO164" s="14">
        <f t="shared" ref="AO164" si="1222">+W164/$D164</f>
        <v>8.7754260468902757E-3</v>
      </c>
      <c r="AP164" s="14">
        <f t="shared" ref="AP164" si="1223">+X164/$D164</f>
        <v>2.5783476739706748E-3</v>
      </c>
      <c r="AQ164" s="14">
        <f t="shared" ref="AQ164" si="1224">+Y164/$D164</f>
        <v>1.3166581417651847E-3</v>
      </c>
    </row>
    <row r="165" spans="1:43" x14ac:dyDescent="0.25">
      <c r="A165" s="10">
        <f t="shared" si="134"/>
        <v>161</v>
      </c>
      <c r="B165" s="15">
        <f t="shared" si="110"/>
        <v>45397</v>
      </c>
      <c r="C165" s="43">
        <v>1900</v>
      </c>
      <c r="D165" s="11">
        <v>30244766.710000001</v>
      </c>
      <c r="E165" s="12">
        <f t="shared" ref="E165" si="1225">+D165/D$4</f>
        <v>0.31504955730313999</v>
      </c>
      <c r="F165" s="11">
        <v>104836.62</v>
      </c>
      <c r="M165" s="17">
        <f>IF(F165&gt;0.01,F165,#REF!)/D164</f>
        <v>3.4402674692182549E-3</v>
      </c>
      <c r="N165" s="17">
        <f t="shared" ref="N165" si="1226">1-(+M165-1)^12</f>
        <v>4.05109593728048E-2</v>
      </c>
      <c r="O165" s="20">
        <f t="shared" ref="O165" si="1227">AVERAGE(N163:N165)</f>
        <v>4.4116993684244411E-2</v>
      </c>
      <c r="P165" s="20">
        <f t="shared" ref="P165" si="1228">AVERAGE(N160:N165)</f>
        <v>3.1014106597291646E-2</v>
      </c>
      <c r="Q165" s="17">
        <f t="shared" ref="Q165" si="1229">AVERAGE(N154:N165)</f>
        <v>3.5713218396706846E-2</v>
      </c>
      <c r="R165" s="11">
        <v>0</v>
      </c>
      <c r="S165" s="18">
        <v>26712231</v>
      </c>
      <c r="T165" s="18">
        <v>1339080</v>
      </c>
      <c r="U165" s="18">
        <v>731724</v>
      </c>
      <c r="V165" s="18">
        <v>427815</v>
      </c>
      <c r="W165" s="18">
        <v>236830</v>
      </c>
      <c r="X165" s="18">
        <v>128571</v>
      </c>
      <c r="Y165" s="11">
        <v>14689.53</v>
      </c>
      <c r="Z165" s="11">
        <f t="shared" ref="Z165" si="1230">+Z164+Y165</f>
        <v>2804682.64</v>
      </c>
      <c r="AA165" s="14">
        <f t="shared" ref="AA165" si="1231">+Z165/D$4</f>
        <v>2.9215435271175282E-2</v>
      </c>
      <c r="AB165" s="11">
        <v>8838102.6500000004</v>
      </c>
      <c r="AC165" s="14">
        <f t="shared" ref="AC165" si="1232">+AB165/AB$4</f>
        <v>0.10229285474537038</v>
      </c>
      <c r="AD165" s="13">
        <f t="shared" ref="AD165" si="1233">+AB165*$AD$2</f>
        <v>7365085.541666667</v>
      </c>
      <c r="AE165" s="19">
        <v>9600000</v>
      </c>
      <c r="AF165" s="12">
        <f t="shared" ref="AF165" si="1234">+AE165/$AE$4</f>
        <v>1</v>
      </c>
      <c r="AG165" s="12">
        <f t="shared" ref="AG165" si="1235">+AB165/D165</f>
        <v>0.29221923695902763</v>
      </c>
      <c r="AH165" s="11">
        <f t="shared" ref="AH165" si="1236">AB164*0.01</f>
        <v>91170.582599999994</v>
      </c>
      <c r="AI165" s="14">
        <f t="shared" ref="AI165" si="1237">((+D165+AH165)-AB165)/D165</f>
        <v>0.71079518809751796</v>
      </c>
      <c r="AK165" s="14">
        <f t="shared" ref="AK165" si="1238">+S165/$D165</f>
        <v>0.8832017537489546</v>
      </c>
      <c r="AL165" s="14">
        <f t="shared" ref="AL165" si="1239">+T165/$D165</f>
        <v>4.4274767031258079E-2</v>
      </c>
      <c r="AM165" s="14">
        <f t="shared" ref="AM165" si="1240">+U165/$D165</f>
        <v>2.4193408632180519E-2</v>
      </c>
      <c r="AN165" s="14">
        <f t="shared" ref="AN165" si="1241">+V165/$D165</f>
        <v>1.4145091747675774E-2</v>
      </c>
      <c r="AO165" s="14">
        <f t="shared" ref="AO165" si="1242">+W165/$D165</f>
        <v>7.8304455865316879E-3</v>
      </c>
      <c r="AP165" s="14">
        <f t="shared" ref="AP165" si="1243">+X165/$D165</f>
        <v>4.2510164231979288E-3</v>
      </c>
      <c r="AQ165" s="14">
        <f t="shared" ref="AQ165" si="1244">+Y165/$D165</f>
        <v>4.8568832224264166E-4</v>
      </c>
    </row>
    <row r="166" spans="1:43" x14ac:dyDescent="0.25">
      <c r="A166" s="10">
        <f t="shared" si="134"/>
        <v>162</v>
      </c>
      <c r="B166" s="15">
        <f t="shared" si="110"/>
        <v>45427</v>
      </c>
      <c r="C166" s="43">
        <v>1892</v>
      </c>
      <c r="D166" s="11">
        <v>29991182.199999999</v>
      </c>
      <c r="E166" s="12">
        <f t="shared" ref="E166" si="1245">+D166/D$4</f>
        <v>0.31240805279492306</v>
      </c>
      <c r="F166" s="11">
        <v>121289.12</v>
      </c>
      <c r="M166" s="17">
        <f>IF(F166&gt;0.01,F166,#REF!)/D165</f>
        <v>4.0102514647566275E-3</v>
      </c>
      <c r="N166" s="17">
        <f t="shared" ref="N166" si="1246">1-(+M166-1)^12</f>
        <v>4.7075659194286135E-2</v>
      </c>
      <c r="O166" s="20">
        <f t="shared" ref="O166" si="1247">AVERAGE(N164:N166)</f>
        <v>4.6531718820078082E-2</v>
      </c>
      <c r="P166" s="20">
        <f t="shared" ref="P166" si="1248">AVERAGE(N161:N166)</f>
        <v>3.5485428486110172E-2</v>
      </c>
      <c r="Q166" s="17">
        <f t="shared" ref="Q166" si="1249">AVERAGE(N155:N166)</f>
        <v>3.6888534310168843E-2</v>
      </c>
      <c r="R166" s="11">
        <v>1601.36</v>
      </c>
      <c r="S166" s="18">
        <v>26604160</v>
      </c>
      <c r="T166" s="18">
        <v>1311728</v>
      </c>
      <c r="U166" s="18">
        <v>722883</v>
      </c>
      <c r="V166" s="18">
        <v>345687</v>
      </c>
      <c r="W166" s="18">
        <v>238446</v>
      </c>
      <c r="X166" s="18">
        <v>136433</v>
      </c>
      <c r="Y166" s="11">
        <v>34425.75</v>
      </c>
      <c r="Z166" s="11">
        <f t="shared" ref="Z166" si="1250">+Z165+Y166</f>
        <v>2839108.39</v>
      </c>
      <c r="AA166" s="14">
        <f t="shared" ref="AA166" si="1251">+Z166/D$4</f>
        <v>2.9574036724488609E-2</v>
      </c>
      <c r="AB166" s="11">
        <v>8421624.9900000002</v>
      </c>
      <c r="AC166" s="14">
        <f t="shared" ref="AC166" si="1252">+AB166/AB$4</f>
        <v>9.7472511458333341E-2</v>
      </c>
      <c r="AD166" s="13">
        <f t="shared" ref="AD166" si="1253">+AB166*$AD$2</f>
        <v>7018020.8250000002</v>
      </c>
      <c r="AE166" s="19">
        <v>9600000</v>
      </c>
      <c r="AF166" s="12">
        <f t="shared" ref="AF166" si="1254">+AE166/$AE$4</f>
        <v>1</v>
      </c>
      <c r="AG166" s="12">
        <f t="shared" ref="AG166" si="1255">+AB166/D166</f>
        <v>0.28080336859812083</v>
      </c>
      <c r="AH166" s="11">
        <f t="shared" ref="AH166" si="1256">AB165*0.01</f>
        <v>88381.026500000007</v>
      </c>
      <c r="AI166" s="14">
        <f t="shared" ref="AI166" si="1257">((+D166+AH166)-AB166)/D166</f>
        <v>0.72214353179115431</v>
      </c>
      <c r="AK166" s="14">
        <f t="shared" ref="AK166" si="1258">+S166/$D166</f>
        <v>0.88706606570513913</v>
      </c>
      <c r="AL166" s="14">
        <f t="shared" ref="AL166" si="1259">+T166/$D166</f>
        <v>4.3737122173196627E-2</v>
      </c>
      <c r="AM166" s="14">
        <f t="shared" ref="AM166" si="1260">+U166/$D166</f>
        <v>2.4103184568696329E-2</v>
      </c>
      <c r="AN166" s="14">
        <f t="shared" ref="AN166" si="1261">+V166/$D166</f>
        <v>1.1526287883376602E-2</v>
      </c>
      <c r="AO166" s="14">
        <f t="shared" ref="AO166" si="1262">+W166/$D166</f>
        <v>7.9505368748018206E-3</v>
      </c>
      <c r="AP166" s="14">
        <f t="shared" ref="AP166" si="1263">+X166/$D166</f>
        <v>4.5491037695739788E-3</v>
      </c>
      <c r="AQ166" s="14">
        <f t="shared" ref="AQ166" si="1264">+Y166/$D166</f>
        <v>1.1478623873653103E-3</v>
      </c>
    </row>
    <row r="167" spans="1:43" x14ac:dyDescent="0.25">
      <c r="A167" s="10">
        <f t="shared" si="134"/>
        <v>163</v>
      </c>
      <c r="B167" s="15">
        <f t="shared" si="110"/>
        <v>45458</v>
      </c>
      <c r="C167" s="43">
        <v>1887</v>
      </c>
      <c r="D167" s="11">
        <v>29817749.030000001</v>
      </c>
      <c r="E167" s="12">
        <f t="shared" ref="E167" si="1265">+D167/D$4</f>
        <v>0.31060145782416027</v>
      </c>
      <c r="F167" s="11">
        <v>52305.99</v>
      </c>
      <c r="M167" s="17">
        <f>IF(F167&gt;0.01,F167,#REF!)/D166</f>
        <v>1.7440456215160468E-3</v>
      </c>
      <c r="N167" s="17">
        <f t="shared" ref="N167" si="1266">1-(+M167-1)^12</f>
        <v>2.072895808079267E-2</v>
      </c>
      <c r="O167" s="20">
        <f t="shared" ref="O167" si="1267">AVERAGE(N165:N167)</f>
        <v>3.6105192215961202E-2</v>
      </c>
      <c r="P167" s="20">
        <f t="shared" ref="P167" si="1268">AVERAGE(N162:N167)</f>
        <v>3.8003153840803848E-2</v>
      </c>
      <c r="Q167" s="17">
        <f t="shared" ref="Q167" si="1269">AVERAGE(N156:N167)</f>
        <v>3.5567232181925916E-2</v>
      </c>
      <c r="R167" s="11">
        <v>0</v>
      </c>
      <c r="S167" s="18">
        <v>26573107</v>
      </c>
      <c r="T167" s="18">
        <v>1239617</v>
      </c>
      <c r="U167" s="18">
        <v>690132</v>
      </c>
      <c r="V167" s="18">
        <v>351677</v>
      </c>
      <c r="W167" s="18">
        <v>213076</v>
      </c>
      <c r="X167" s="18">
        <v>83147</v>
      </c>
      <c r="Y167" s="11">
        <v>60254.69</v>
      </c>
      <c r="Z167" s="11">
        <f t="shared" ref="Z167" si="1270">+Z166+Y167</f>
        <v>2899363.08</v>
      </c>
      <c r="AA167" s="14">
        <f t="shared" ref="AA167" si="1271">+Z167/D$4</f>
        <v>3.0201689554214733E-2</v>
      </c>
      <c r="AB167" s="11">
        <v>8184134.7000000002</v>
      </c>
      <c r="AC167" s="14">
        <f t="shared" ref="AC167" si="1272">+AB167/AB$4</f>
        <v>9.472378125E-2</v>
      </c>
      <c r="AD167" s="13">
        <f t="shared" ref="AD167" si="1273">+AB167*$AD$2</f>
        <v>6820112.25</v>
      </c>
      <c r="AE167" s="19">
        <v>9600000</v>
      </c>
      <c r="AF167" s="12">
        <f t="shared" ref="AF167" si="1274">+AE167/$AE$4</f>
        <v>1</v>
      </c>
      <c r="AG167" s="12">
        <f t="shared" ref="AG167" si="1275">+AB167/D167</f>
        <v>0.27447191576285124</v>
      </c>
      <c r="AH167" s="11">
        <f t="shared" ref="AH167" si="1276">AB166*0.01</f>
        <v>84216.24990000001</v>
      </c>
      <c r="AI167" s="14">
        <f t="shared" ref="AI167" si="1277">((+D167+AH167)-AB167)/D167</f>
        <v>0.72835245068463839</v>
      </c>
      <c r="AK167" s="14">
        <f t="shared" ref="AK167" si="1278">+S167/$D167</f>
        <v>0.89118420620096017</v>
      </c>
      <c r="AL167" s="14">
        <f t="shared" ref="AL167" si="1279">+T167/$D167</f>
        <v>4.1573124743682237E-2</v>
      </c>
      <c r="AM167" s="14">
        <f t="shared" ref="AM167" si="1280">+U167/$D167</f>
        <v>2.3145006663838029E-2</v>
      </c>
      <c r="AN167" s="14">
        <f t="shared" ref="AN167" si="1281">+V167/$D167</f>
        <v>1.1794216915776354E-2</v>
      </c>
      <c r="AO167" s="14">
        <f t="shared" ref="AO167" si="1282">+W167/$D167</f>
        <v>7.1459451813623365E-3</v>
      </c>
      <c r="AP167" s="14">
        <f t="shared" ref="AP167" si="1283">+X167/$D167</f>
        <v>2.7885069364674306E-3</v>
      </c>
      <c r="AQ167" s="14">
        <f t="shared" ref="AQ167" si="1284">+Y167/$D167</f>
        <v>2.0207658847546479E-3</v>
      </c>
    </row>
    <row r="168" spans="1:43" x14ac:dyDescent="0.25">
      <c r="A168" s="10">
        <f t="shared" si="134"/>
        <v>164</v>
      </c>
      <c r="B168" s="15">
        <f t="shared" si="110"/>
        <v>45488</v>
      </c>
      <c r="C168" s="43">
        <v>1879</v>
      </c>
      <c r="D168" s="11">
        <v>29583579.190000001</v>
      </c>
      <c r="E168" s="12">
        <f t="shared" ref="E168" si="1285">+D168/D$4</f>
        <v>0.30816218940020002</v>
      </c>
      <c r="F168" s="11">
        <v>123731.55</v>
      </c>
      <c r="M168" s="17">
        <f>IF(F168&gt;0.01,F168,#REF!)/D167</f>
        <v>4.1495939172172987E-3</v>
      </c>
      <c r="N168" s="17">
        <f t="shared" ref="N168" si="1286">1-(+M168-1)^12</f>
        <v>4.8674238177955131E-2</v>
      </c>
      <c r="O168" s="20">
        <f t="shared" ref="O168" si="1287">AVERAGE(N166:N168)</f>
        <v>3.882628515101131E-2</v>
      </c>
      <c r="P168" s="20">
        <f t="shared" ref="P168" si="1288">AVERAGE(N163:N168)</f>
        <v>4.147163941762786E-2</v>
      </c>
      <c r="Q168" s="17">
        <f t="shared" ref="Q168" si="1289">AVERAGE(N157:N168)</f>
        <v>3.5433946007748095E-2</v>
      </c>
      <c r="R168" s="11">
        <v>0</v>
      </c>
      <c r="S168" s="18">
        <v>26319174</v>
      </c>
      <c r="T168" s="18">
        <v>1355117</v>
      </c>
      <c r="U168" s="18">
        <v>656687</v>
      </c>
      <c r="V168" s="18">
        <v>332576</v>
      </c>
      <c r="W168" s="18">
        <v>187044</v>
      </c>
      <c r="X168" s="18">
        <v>86387</v>
      </c>
      <c r="Y168" s="11">
        <v>16397.39</v>
      </c>
      <c r="Z168" s="11">
        <f t="shared" ref="Z168" si="1290">+Z167+Y168</f>
        <v>2915760.47</v>
      </c>
      <c r="AA168" s="14">
        <f t="shared" ref="AA168" si="1291">+Z168/D$4</f>
        <v>3.0372495648041169E-2</v>
      </c>
      <c r="AB168" s="11">
        <v>7919234.3300000001</v>
      </c>
      <c r="AC168" s="14">
        <f t="shared" ref="AC168" si="1292">+AB168/AB$4</f>
        <v>9.1657804745370372E-2</v>
      </c>
      <c r="AD168" s="13">
        <f t="shared" ref="AD168" si="1293">+AB168*$AD$2</f>
        <v>6599361.9416666673</v>
      </c>
      <c r="AE168" s="19">
        <v>9600000</v>
      </c>
      <c r="AF168" s="12">
        <f t="shared" ref="AF168" si="1294">+AE168/$AE$4</f>
        <v>1</v>
      </c>
      <c r="AG168" s="12">
        <f t="shared" ref="AG168" si="1295">+AB168/D168</f>
        <v>0.26769020337731486</v>
      </c>
      <c r="AH168" s="11">
        <f t="shared" ref="AH168" si="1296">AB167*0.01</f>
        <v>81841.347000000009</v>
      </c>
      <c r="AI168" s="14">
        <f t="shared" ref="AI168" si="1297">((+D168+AH168)-AB168)/D168</f>
        <v>0.73507624169933983</v>
      </c>
      <c r="AK168" s="14">
        <f t="shared" ref="AK168" si="1298">+S168/$D168</f>
        <v>0.88965482611030877</v>
      </c>
      <c r="AL168" s="14">
        <f t="shared" ref="AL168" si="1299">+T168/$D168</f>
        <v>4.5806391150198078E-2</v>
      </c>
      <c r="AM168" s="14">
        <f t="shared" ref="AM168" si="1300">+U168/$D168</f>
        <v>2.2197685945383405E-2</v>
      </c>
      <c r="AN168" s="14">
        <f t="shared" ref="AN168" si="1301">+V168/$D168</f>
        <v>1.124191220622889E-2</v>
      </c>
      <c r="AO168" s="14">
        <f t="shared" ref="AO168" si="1302">+W168/$D168</f>
        <v>6.3225615399243379E-3</v>
      </c>
      <c r="AP168" s="14">
        <f t="shared" ref="AP168" si="1303">+X168/$D168</f>
        <v>2.9200996757417709E-3</v>
      </c>
      <c r="AQ168" s="14">
        <f t="shared" ref="AQ168" si="1304">+Y168/$D168</f>
        <v>5.5427336546021221E-4</v>
      </c>
    </row>
    <row r="169" spans="1:43" x14ac:dyDescent="0.25">
      <c r="A169" s="10">
        <f t="shared" si="134"/>
        <v>165</v>
      </c>
      <c r="B169" s="15">
        <f t="shared" si="110"/>
        <v>45519</v>
      </c>
      <c r="C169" s="43">
        <v>1871</v>
      </c>
      <c r="D169" s="11">
        <v>29352136.23</v>
      </c>
      <c r="E169" s="12">
        <f t="shared" ref="E169" si="1305">+D169/D$4</f>
        <v>0.30575132596759108</v>
      </c>
      <c r="F169" s="11">
        <v>102188.66</v>
      </c>
      <c r="M169" s="17">
        <f>IF(F169&gt;0.01,F169,#REF!)/D168</f>
        <v>3.4542358564423588E-3</v>
      </c>
      <c r="N169" s="17">
        <f t="shared" ref="N169" si="1306">1-(+M169-1)^12</f>
        <v>4.0672332314331872E-2</v>
      </c>
      <c r="O169" s="20">
        <f t="shared" ref="O169" si="1307">AVERAGE(N167:N169)</f>
        <v>3.6691842857693224E-2</v>
      </c>
      <c r="P169" s="20">
        <f t="shared" ref="P169" si="1308">AVERAGE(N164:N169)</f>
        <v>4.1611780838885649E-2</v>
      </c>
      <c r="Q169" s="17">
        <f t="shared" ref="Q169" si="1309">AVERAGE(N158:N169)</f>
        <v>3.7329995220216565E-2</v>
      </c>
      <c r="R169" s="11">
        <v>0</v>
      </c>
      <c r="S169" s="18">
        <v>26354838</v>
      </c>
      <c r="T169" s="18">
        <v>1258129</v>
      </c>
      <c r="U169" s="18">
        <v>587553</v>
      </c>
      <c r="V169" s="18">
        <v>179355</v>
      </c>
      <c r="W169" s="18">
        <v>233734</v>
      </c>
      <c r="X169" s="18">
        <v>142664</v>
      </c>
      <c r="Y169" s="11">
        <v>0</v>
      </c>
      <c r="Z169" s="11">
        <f t="shared" ref="Z169" si="1310">+Z168+Y169</f>
        <v>2915760.47</v>
      </c>
      <c r="AA169" s="14">
        <f t="shared" ref="AA169" si="1311">+Z169/D$4</f>
        <v>3.0372495648041169E-2</v>
      </c>
      <c r="AB169" s="11">
        <v>7646364.54</v>
      </c>
      <c r="AC169" s="14">
        <f t="shared" ref="AC169" si="1312">+AB169/AB$4</f>
        <v>8.849958958333333E-2</v>
      </c>
      <c r="AD169" s="13">
        <f t="shared" ref="AD169" si="1313">+AB169*$AD$2</f>
        <v>6371970.4500000002</v>
      </c>
      <c r="AE169" s="19">
        <v>9600000</v>
      </c>
      <c r="AF169" s="12">
        <f t="shared" ref="AF169" si="1314">+AE169/$AE$4</f>
        <v>1</v>
      </c>
      <c r="AG169" s="12">
        <f t="shared" ref="AG169" si="1315">+AB169/D169</f>
        <v>0.26050453296087062</v>
      </c>
      <c r="AH169" s="11">
        <f t="shared" ref="AH169" si="1316">AB168*0.01</f>
        <v>79192.343300000008</v>
      </c>
      <c r="AI169" s="14">
        <f t="shared" ref="AI169" si="1317">((+D169+AH169)-AB169)/D169</f>
        <v>0.74219347657000168</v>
      </c>
      <c r="AK169" s="14">
        <f t="shared" ref="AK169" si="1318">+S169/$D169</f>
        <v>0.89788483514407558</v>
      </c>
      <c r="AL169" s="14">
        <f t="shared" ref="AL169" si="1319">+T169/$D169</f>
        <v>4.2863285661440251E-2</v>
      </c>
      <c r="AM169" s="14">
        <f t="shared" ref="AM169" si="1320">+U169/$D169</f>
        <v>2.0017384608602303E-2</v>
      </c>
      <c r="AN169" s="14">
        <f t="shared" ref="AN169" si="1321">+V169/$D169</f>
        <v>6.1104581484153191E-3</v>
      </c>
      <c r="AO169" s="14">
        <f t="shared" ref="AO169" si="1322">+W169/$D169</f>
        <v>7.9631001358295341E-3</v>
      </c>
      <c r="AP169" s="14">
        <f t="shared" ref="AP169" si="1323">+X169/$D169</f>
        <v>4.8604298808816206E-3</v>
      </c>
      <c r="AQ169" s="14">
        <f t="shared" ref="AQ169" si="1324">+Y169/$D169</f>
        <v>0</v>
      </c>
    </row>
    <row r="170" spans="1:43" x14ac:dyDescent="0.25">
      <c r="A170" s="10">
        <f t="shared" si="134"/>
        <v>166</v>
      </c>
      <c r="B170" s="15">
        <f t="shared" si="110"/>
        <v>45550</v>
      </c>
      <c r="C170" s="43">
        <v>1869</v>
      </c>
      <c r="D170" s="11">
        <v>29201725.91</v>
      </c>
      <c r="E170" s="12">
        <f t="shared" ref="E170" si="1325">+D170/D$4</f>
        <v>0.30418455227797431</v>
      </c>
      <c r="F170" s="11">
        <v>26612.89</v>
      </c>
      <c r="M170" s="17">
        <f>IF(F170&gt;0.01,F170,#REF!)/D169</f>
        <v>9.066764269375292E-4</v>
      </c>
      <c r="N170" s="17">
        <f t="shared" ref="N170" si="1326">1-(+M170-1)^12</f>
        <v>1.0826024663533107E-2</v>
      </c>
      <c r="O170" s="20">
        <f t="shared" ref="O170" si="1327">AVERAGE(N168:N170)</f>
        <v>3.3390865051940034E-2</v>
      </c>
      <c r="P170" s="20">
        <f t="shared" ref="P170" si="1328">AVERAGE(N165:N170)</f>
        <v>3.4748028633950621E-2</v>
      </c>
      <c r="Q170" s="17">
        <f t="shared" ref="Q170" si="1329">AVERAGE(N159:N170)</f>
        <v>3.380132312437889E-2</v>
      </c>
      <c r="R170" s="11">
        <v>0</v>
      </c>
      <c r="S170" s="18">
        <v>26250356</v>
      </c>
      <c r="T170" s="18">
        <v>1171165</v>
      </c>
      <c r="U170" s="18">
        <v>565861</v>
      </c>
      <c r="V170" s="18">
        <v>326201</v>
      </c>
      <c r="W170" s="18">
        <v>118876</v>
      </c>
      <c r="X170" s="18">
        <v>132415</v>
      </c>
      <c r="Y170" s="11">
        <v>25489.8</v>
      </c>
      <c r="Z170" s="11">
        <f t="shared" ref="Z170" si="1330">+Z169+Y170</f>
        <v>2941250.27</v>
      </c>
      <c r="AA170" s="14">
        <f t="shared" ref="AA170" si="1331">+Z170/D$4</f>
        <v>3.0638014317196264E-2</v>
      </c>
      <c r="AB170" s="11">
        <v>7449153.2400000002</v>
      </c>
      <c r="AC170" s="14">
        <f t="shared" ref="AC170" si="1332">+AB170/AB$4</f>
        <v>8.6217051388888896E-2</v>
      </c>
      <c r="AD170" s="13">
        <f t="shared" ref="AD170" si="1333">+AB170*$AD$2</f>
        <v>6207627.7000000002</v>
      </c>
      <c r="AE170" s="19">
        <v>9600000</v>
      </c>
      <c r="AF170" s="12">
        <f t="shared" ref="AF170" si="1334">+AE170/$AE$4</f>
        <v>1</v>
      </c>
      <c r="AG170" s="12">
        <f t="shared" ref="AG170" si="1335">+AB170/D170</f>
        <v>0.25509291002039958</v>
      </c>
      <c r="AH170" s="11">
        <f t="shared" ref="AH170" si="1336">AB169*0.01</f>
        <v>76463.645400000009</v>
      </c>
      <c r="AI170" s="14">
        <f t="shared" ref="AI170" si="1337">((+D170+AH170)-AB170)/D170</f>
        <v>0.74752555320453651</v>
      </c>
      <c r="AK170" s="14">
        <f t="shared" ref="AK170" si="1338">+S170/$D170</f>
        <v>0.89893166181012207</v>
      </c>
      <c r="AL170" s="14">
        <f t="shared" ref="AL170" si="1339">+T170/$D170</f>
        <v>4.0106019884219919E-2</v>
      </c>
      <c r="AM170" s="14">
        <f t="shared" ref="AM170" si="1340">+U170/$D170</f>
        <v>1.9377656024304489E-2</v>
      </c>
      <c r="AN170" s="14">
        <f t="shared" ref="AN170" si="1341">+V170/$D170</f>
        <v>1.1170606867736332E-2</v>
      </c>
      <c r="AO170" s="14">
        <f t="shared" ref="AO170" si="1342">+W170/$D170</f>
        <v>4.0708552763756836E-3</v>
      </c>
      <c r="AP170" s="14">
        <f t="shared" ref="AP170" si="1343">+X170/$D170</f>
        <v>4.5344922559750166E-3</v>
      </c>
      <c r="AQ170" s="14">
        <f t="shared" ref="AQ170" si="1344">+Y170/$D170</f>
        <v>8.7288676287695488E-4</v>
      </c>
    </row>
    <row r="171" spans="1:43" x14ac:dyDescent="0.25">
      <c r="A171" s="10">
        <f t="shared" si="134"/>
        <v>167</v>
      </c>
      <c r="B171" s="15">
        <f t="shared" si="110"/>
        <v>45580</v>
      </c>
      <c r="C171" s="43">
        <v>1858</v>
      </c>
      <c r="D171" s="11">
        <v>28951521.949999999</v>
      </c>
      <c r="E171" s="12">
        <f t="shared" ref="E171" si="1345">+D171/D$4</f>
        <v>0.30157826182153546</v>
      </c>
      <c r="F171" s="11">
        <v>112058.87</v>
      </c>
      <c r="M171" s="17">
        <f>IF(F171&gt;0.01,F171,#REF!)/D170</f>
        <v>3.8374057185991853E-3</v>
      </c>
      <c r="N171" s="17">
        <f t="shared" ref="N171" si="1346">1-(+M171-1)^12</f>
        <v>4.5089298737950423E-2</v>
      </c>
      <c r="O171" s="20">
        <f t="shared" ref="O171" si="1347">AVERAGE(N169:N171)</f>
        <v>3.2195885238605136E-2</v>
      </c>
      <c r="P171" s="20">
        <f t="shared" ref="P171" si="1348">AVERAGE(N166:N171)</f>
        <v>3.5511085194808223E-2</v>
      </c>
      <c r="Q171" s="17">
        <f t="shared" ref="Q171" si="1349">AVERAGE(N160:N171)</f>
        <v>3.3262595896049935E-2</v>
      </c>
      <c r="R171" s="11">
        <v>0</v>
      </c>
      <c r="S171" s="18">
        <v>25906656</v>
      </c>
      <c r="T171" s="18">
        <v>1152447</v>
      </c>
      <c r="U171" s="18">
        <v>641773</v>
      </c>
      <c r="V171" s="18">
        <v>312577</v>
      </c>
      <c r="W171" s="18">
        <v>226633</v>
      </c>
      <c r="X171" s="18">
        <v>82689</v>
      </c>
      <c r="Y171" s="11">
        <v>15270.76</v>
      </c>
      <c r="Z171" s="11">
        <f t="shared" ref="Z171" si="1350">+Z170+Y171</f>
        <v>2956521.03</v>
      </c>
      <c r="AA171" s="14">
        <f t="shared" ref="AA171" si="1351">+Z171/D$4</f>
        <v>3.0797084685429316E-2</v>
      </c>
      <c r="AB171" s="11">
        <v>7125962.6600000001</v>
      </c>
      <c r="AC171" s="14">
        <f t="shared" ref="AC171" si="1352">+AB171/AB$4</f>
        <v>8.2476419675925922E-2</v>
      </c>
      <c r="AD171" s="13">
        <f t="shared" ref="AD171" si="1353">+AB171*$AD$2</f>
        <v>5938302.2166666668</v>
      </c>
      <c r="AE171" s="19">
        <v>9600000</v>
      </c>
      <c r="AF171" s="12">
        <f t="shared" ref="AF171" si="1354">+AE171/$AE$4</f>
        <v>1</v>
      </c>
      <c r="AG171" s="12">
        <f t="shared" ref="AG171" si="1355">+AB171/D171</f>
        <v>0.2461343024489944</v>
      </c>
      <c r="AH171" s="11">
        <f t="shared" ref="AH171" si="1356">AB170*0.01</f>
        <v>74491.532400000011</v>
      </c>
      <c r="AI171" s="14">
        <f t="shared" ref="AI171" si="1357">((+D171+AH171)-AB171)/D171</f>
        <v>0.7564386722128783</v>
      </c>
      <c r="AK171" s="14">
        <f t="shared" ref="AK171" si="1358">+S171/$D171</f>
        <v>0.89482881227250988</v>
      </c>
      <c r="AL171" s="14">
        <f t="shared" ref="AL171" si="1359">+T171/$D171</f>
        <v>3.9806093855456193E-2</v>
      </c>
      <c r="AM171" s="14">
        <f t="shared" ref="AM171" si="1360">+U171/$D171</f>
        <v>2.2167159333051918E-2</v>
      </c>
      <c r="AN171" s="14">
        <f t="shared" ref="AN171" si="1361">+V171/$D171</f>
        <v>1.0796565394379898E-2</v>
      </c>
      <c r="AO171" s="14">
        <f t="shared" ref="AO171" si="1362">+W171/$D171</f>
        <v>7.8280167927406667E-3</v>
      </c>
      <c r="AP171" s="14">
        <f t="shared" ref="AP171" si="1363">+X171/$D171</f>
        <v>2.8561192790764493E-3</v>
      </c>
      <c r="AQ171" s="14">
        <f t="shared" ref="AQ171" si="1364">+Y171/$D171</f>
        <v>5.274596626171496E-4</v>
      </c>
    </row>
    <row r="172" spans="1:43" x14ac:dyDescent="0.25">
      <c r="A172" s="10">
        <f t="shared" si="134"/>
        <v>168</v>
      </c>
      <c r="B172" s="15">
        <f t="shared" si="110"/>
        <v>45611</v>
      </c>
      <c r="C172" s="43">
        <v>1853</v>
      </c>
      <c r="D172" s="11">
        <v>28736605.460000001</v>
      </c>
      <c r="E172" s="12">
        <f t="shared" ref="E172" si="1365">+D172/D$4</f>
        <v>0.29933954906567689</v>
      </c>
      <c r="F172" s="11">
        <v>64595.89</v>
      </c>
      <c r="M172" s="17">
        <f>IF(F172&gt;0.01,F172,#REF!)/D171</f>
        <v>2.2311742405652702E-3</v>
      </c>
      <c r="N172" s="17">
        <f t="shared" ref="N172" si="1366">1-(+M172-1)^12</f>
        <v>2.644796508374414E-2</v>
      </c>
      <c r="O172" s="20">
        <f t="shared" ref="O172" si="1367">AVERAGE(N170:N172)</f>
        <v>2.7454429495075889E-2</v>
      </c>
      <c r="P172" s="20">
        <f t="shared" ref="P172" si="1368">AVERAGE(N167:N172)</f>
        <v>3.2073136176384555E-2</v>
      </c>
      <c r="Q172" s="17">
        <f t="shared" ref="Q172" si="1369">AVERAGE(N161:N172)</f>
        <v>3.3779282331247364E-2</v>
      </c>
      <c r="R172" s="11">
        <v>0</v>
      </c>
      <c r="S172" s="18">
        <v>25762940</v>
      </c>
      <c r="T172" s="18">
        <v>1273854</v>
      </c>
      <c r="U172" s="18">
        <v>639922</v>
      </c>
      <c r="V172" s="18">
        <v>216575</v>
      </c>
      <c r="W172" s="18">
        <v>150374</v>
      </c>
      <c r="X172" s="18">
        <v>136576</v>
      </c>
      <c r="Y172" s="11">
        <v>14765.76</v>
      </c>
      <c r="Z172" s="11">
        <f t="shared" ref="Z172" si="1370">+Z171+Y172</f>
        <v>2971286.7899999996</v>
      </c>
      <c r="AA172" s="14">
        <f t="shared" ref="AA172" si="1371">+Z172/D$4</f>
        <v>3.0950894638597386E-2</v>
      </c>
      <c r="AB172" s="11">
        <v>6861591.8899999997</v>
      </c>
      <c r="AC172" s="14">
        <f t="shared" ref="AC172" si="1372">+AB172/AB$4</f>
        <v>7.9416572800925928E-2</v>
      </c>
      <c r="AD172" s="13">
        <f t="shared" ref="AD172" si="1373">+AB172*$AD$2</f>
        <v>5717993.2416666662</v>
      </c>
      <c r="AE172" s="19">
        <v>9600000</v>
      </c>
      <c r="AF172" s="12">
        <f t="shared" ref="AF172" si="1374">+AE172/$AE$4</f>
        <v>1</v>
      </c>
      <c r="AG172" s="12">
        <f t="shared" ref="AG172" si="1375">+AB172/D172</f>
        <v>0.23877531045032482</v>
      </c>
      <c r="AH172" s="11">
        <f t="shared" ref="AH172" si="1376">AB171*0.01</f>
        <v>71259.626600000003</v>
      </c>
      <c r="AI172" s="14">
        <f t="shared" ref="AI172" si="1377">((+D172+AH172)-AB172)/D172</f>
        <v>0.76370444056616837</v>
      </c>
      <c r="AK172" s="14">
        <f t="shared" ref="AK172" si="1378">+S172/$D172</f>
        <v>0.89651994686222758</v>
      </c>
      <c r="AL172" s="14">
        <f t="shared" ref="AL172" si="1379">+T172/$D172</f>
        <v>4.4328617789360841E-2</v>
      </c>
      <c r="AM172" s="14">
        <f t="shared" ref="AM172" si="1380">+U172/$D172</f>
        <v>2.2268531364664529E-2</v>
      </c>
      <c r="AN172" s="14">
        <f t="shared" ref="AN172" si="1381">+V172/$D172</f>
        <v>7.5365547368307709E-3</v>
      </c>
      <c r="AO172" s="14">
        <f t="shared" ref="AO172" si="1382">+W172/$D172</f>
        <v>5.2328379637363058E-3</v>
      </c>
      <c r="AP172" s="14">
        <f t="shared" ref="AP172" si="1383">+X172/$D172</f>
        <v>4.7526838265607727E-3</v>
      </c>
      <c r="AQ172" s="14">
        <f t="shared" ref="AQ172" si="1384">+Y172/$D172</f>
        <v>5.1383104453841079E-4</v>
      </c>
    </row>
    <row r="173" spans="1:43" x14ac:dyDescent="0.25">
      <c r="A173" s="10">
        <f t="shared" si="134"/>
        <v>169</v>
      </c>
      <c r="B173" s="15">
        <f t="shared" si="110"/>
        <v>45641</v>
      </c>
      <c r="C173" s="43">
        <v>1847</v>
      </c>
      <c r="D173" s="11">
        <v>28518799.690000001</v>
      </c>
      <c r="E173" s="12">
        <f t="shared" ref="E173" si="1385">+D173/D$4</f>
        <v>0.2970707396523154</v>
      </c>
      <c r="F173" s="11">
        <v>94235.31</v>
      </c>
      <c r="M173" s="17">
        <f>IF(F173&gt;0.01,F173,#REF!)/D172</f>
        <v>3.2792777188374285E-3</v>
      </c>
      <c r="N173" s="17">
        <f t="shared" ref="N173" si="1386">1-(+M173-1)^12</f>
        <v>3.864929210122503E-2</v>
      </c>
      <c r="O173" s="20">
        <f t="shared" ref="O173" si="1387">AVERAGE(N171:N173)</f>
        <v>3.6728851974306531E-2</v>
      </c>
      <c r="P173" s="20">
        <f t="shared" ref="P173" si="1388">AVERAGE(N168:N173)</f>
        <v>3.5059858513123286E-2</v>
      </c>
      <c r="Q173" s="17">
        <f t="shared" ref="Q173" si="1389">AVERAGE(N162:N173)</f>
        <v>3.6531506176963567E-2</v>
      </c>
      <c r="R173" s="11">
        <v>0</v>
      </c>
      <c r="S173" s="18">
        <v>25655982</v>
      </c>
      <c r="T173" s="18">
        <v>1278575</v>
      </c>
      <c r="U173" s="18">
        <v>570742</v>
      </c>
      <c r="V173" s="18">
        <v>171663</v>
      </c>
      <c r="W173" s="18">
        <v>119149</v>
      </c>
      <c r="X173" s="18">
        <v>162021</v>
      </c>
      <c r="Y173" s="11">
        <v>16517.07</v>
      </c>
      <c r="Z173" s="11">
        <f t="shared" ref="Z173" si="1390">+Z172+Y173</f>
        <v>2987803.8599999994</v>
      </c>
      <c r="AA173" s="14">
        <f t="shared" ref="AA173" si="1391">+Z173/D$4</f>
        <v>3.1122947398710903E-2</v>
      </c>
      <c r="AB173" s="11">
        <v>6592618.7999999998</v>
      </c>
      <c r="AC173" s="14">
        <f t="shared" ref="AC173" si="1392">+AB173/AB$4</f>
        <v>7.6303458333333338E-2</v>
      </c>
      <c r="AD173" s="13">
        <f t="shared" ref="AD173" si="1393">+AB173*$AD$2</f>
        <v>5493849</v>
      </c>
      <c r="AE173" s="19">
        <v>9600000</v>
      </c>
      <c r="AF173" s="12">
        <f t="shared" ref="AF173" si="1394">+AE173/$AE$4</f>
        <v>1</v>
      </c>
      <c r="AG173" s="12">
        <f t="shared" ref="AG173" si="1395">+AB173/D173</f>
        <v>0.23116747098973012</v>
      </c>
      <c r="AH173" s="11">
        <f t="shared" ref="AH173" si="1396">AB172*0.01</f>
        <v>68615.918900000004</v>
      </c>
      <c r="AI173" s="14">
        <f t="shared" ref="AI173" si="1397">((+D173+AH173)-AB173)/D173</f>
        <v>0.7712385180296486</v>
      </c>
      <c r="AK173" s="14">
        <f t="shared" ref="AK173" si="1398">+S173/$D173</f>
        <v>0.89961647330466588</v>
      </c>
      <c r="AL173" s="14">
        <f t="shared" ref="AL173" si="1399">+T173/$D173</f>
        <v>4.4832707333342887E-2</v>
      </c>
      <c r="AM173" s="14">
        <f t="shared" ref="AM173" si="1400">+U173/$D173</f>
        <v>2.0012833857104031E-2</v>
      </c>
      <c r="AN173" s="14">
        <f t="shared" ref="AN173" si="1401">+V173/$D173</f>
        <v>6.0192926022827296E-3</v>
      </c>
      <c r="AO173" s="14">
        <f t="shared" ref="AO173" si="1402">+W173/$D173</f>
        <v>4.1779107569446233E-3</v>
      </c>
      <c r="AP173" s="14">
        <f t="shared" ref="AP173" si="1403">+X173/$D173</f>
        <v>5.6811998317310665E-3</v>
      </c>
      <c r="AQ173" s="14">
        <f t="shared" ref="AQ173" si="1404">+Y173/$D173</f>
        <v>5.7916427688194897E-4</v>
      </c>
    </row>
    <row r="174" spans="1:43" x14ac:dyDescent="0.25">
      <c r="A174" s="10">
        <f t="shared" si="134"/>
        <v>170</v>
      </c>
      <c r="B174" s="15">
        <f t="shared" si="110"/>
        <v>45672</v>
      </c>
      <c r="C174" s="43">
        <v>1840</v>
      </c>
      <c r="D174" s="11">
        <v>28252289.949999999</v>
      </c>
      <c r="E174" s="12">
        <f t="shared" ref="E174" si="1405">+D174/D$4</f>
        <v>0.29429459737259289</v>
      </c>
      <c r="F174" s="11">
        <v>95823.99</v>
      </c>
      <c r="M174" s="17">
        <f>IF(F174&gt;0.01,F174,#REF!)/D173</f>
        <v>3.3600288596157251E-3</v>
      </c>
      <c r="N174" s="17">
        <f t="shared" ref="N174" si="1406">1-(+M174-1)^12</f>
        <v>3.9583502648311009E-2</v>
      </c>
      <c r="O174" s="20">
        <f t="shared" ref="O174" si="1407">AVERAGE(N172:N174)</f>
        <v>3.4893586611093395E-2</v>
      </c>
      <c r="P174" s="20">
        <f t="shared" ref="P174" si="1408">AVERAGE(N169:N174)</f>
        <v>3.3544735924849266E-2</v>
      </c>
      <c r="Q174" s="17">
        <f t="shared" ref="Q174" si="1409">AVERAGE(N163:N174)</f>
        <v>3.7508187671238563E-2</v>
      </c>
      <c r="R174" s="11">
        <v>0</v>
      </c>
      <c r="S174" s="18">
        <v>25618477</v>
      </c>
      <c r="T174" s="18">
        <v>1002567</v>
      </c>
      <c r="U174" s="18">
        <v>781274</v>
      </c>
      <c r="V174" s="18">
        <v>162323</v>
      </c>
      <c r="W174" s="18">
        <v>33868</v>
      </c>
      <c r="X174" s="18">
        <v>72189</v>
      </c>
      <c r="Y174" s="11">
        <v>44563.18</v>
      </c>
      <c r="Z174" s="11">
        <f t="shared" ref="Z174" si="1410">+Z173+Y174</f>
        <v>3032367.0399999996</v>
      </c>
      <c r="AA174" s="14">
        <f t="shared" ref="AA174" si="1411">+Z174/D$4</f>
        <v>3.158714704903845E-2</v>
      </c>
      <c r="AB174" s="11">
        <v>6263670.4400000004</v>
      </c>
      <c r="AC174" s="14">
        <f t="shared" ref="AC174" si="1412">+AB174/AB$4</f>
        <v>7.2496185648148151E-2</v>
      </c>
      <c r="AD174" s="13">
        <f t="shared" ref="AD174" si="1413">+AB174*$AD$2</f>
        <v>5219725.3666666672</v>
      </c>
      <c r="AE174" s="19">
        <v>9600000</v>
      </c>
      <c r="AF174" s="12">
        <f t="shared" ref="AF174" si="1414">+AE174/$AE$4</f>
        <v>1</v>
      </c>
      <c r="AG174" s="12">
        <f t="shared" ref="AG174" si="1415">+AB174/D174</f>
        <v>0.2217048759971402</v>
      </c>
      <c r="AH174" s="11">
        <f t="shared" ref="AH174" si="1416">AB173*0.01</f>
        <v>65926.187999999995</v>
      </c>
      <c r="AI174" s="14">
        <f t="shared" ref="AI174" si="1417">((+D174+AH174)-AB174)/D174</f>
        <v>0.78062860522214061</v>
      </c>
      <c r="AK174" s="14">
        <f t="shared" ref="AK174" si="1418">+S174/$D174</f>
        <v>0.90677524000138621</v>
      </c>
      <c r="AL174" s="14">
        <f t="shared" ref="AL174" si="1419">+T174/$D174</f>
        <v>3.5486220825791857E-2</v>
      </c>
      <c r="AM174" s="14">
        <f t="shared" ref="AM174" si="1420">+U174/$D174</f>
        <v>2.7653475218563657E-2</v>
      </c>
      <c r="AN174" s="14">
        <f t="shared" ref="AN174" si="1421">+V174/$D174</f>
        <v>5.74548117293409E-3</v>
      </c>
      <c r="AO174" s="14">
        <f t="shared" ref="AO174" si="1422">+W174/$D174</f>
        <v>1.1987700841219777E-3</v>
      </c>
      <c r="AP174" s="14">
        <f t="shared" ref="AP174" si="1423">+X174/$D174</f>
        <v>2.5551557104842755E-3</v>
      </c>
      <c r="AQ174" s="14">
        <f t="shared" ref="AQ174" si="1424">+Y174/$D174</f>
        <v>1.5773298404790016E-3</v>
      </c>
    </row>
    <row r="175" spans="1:43" x14ac:dyDescent="0.25">
      <c r="A175" s="10">
        <f t="shared" si="134"/>
        <v>171</v>
      </c>
      <c r="B175" s="15">
        <f t="shared" si="110"/>
        <v>45703</v>
      </c>
      <c r="C175" s="43">
        <v>1835</v>
      </c>
      <c r="D175" s="11">
        <v>28057009.800000001</v>
      </c>
      <c r="E175" s="12">
        <f t="shared" ref="E175" si="1425">+D175/D$4</f>
        <v>0.29226042976278788</v>
      </c>
      <c r="F175" s="11">
        <v>61748.73</v>
      </c>
      <c r="M175" s="17">
        <f>IF(F175&gt;0.01,F175,#REF!)/D174</f>
        <v>2.1856185855830068E-3</v>
      </c>
      <c r="N175" s="17">
        <f t="shared" ref="N175" si="1426">1-(+M175-1)^12</f>
        <v>2.5914431402923599E-2</v>
      </c>
      <c r="O175" s="20">
        <f t="shared" ref="O175" si="1427">AVERAGE(N173:N175)</f>
        <v>3.4715742050819877E-2</v>
      </c>
      <c r="P175" s="20">
        <f t="shared" ref="P175" si="1428">AVERAGE(N170:N175)</f>
        <v>3.1085085772947885E-2</v>
      </c>
      <c r="Q175" s="17">
        <f t="shared" ref="Q175" si="1429">AVERAGE(N164:N175)</f>
        <v>3.6348433305916771E-2</v>
      </c>
      <c r="R175" s="11">
        <v>0</v>
      </c>
      <c r="S175" s="18">
        <v>25396029</v>
      </c>
      <c r="T175" s="18">
        <v>1185999</v>
      </c>
      <c r="U175" s="18">
        <v>600781</v>
      </c>
      <c r="V175" s="18">
        <v>181406</v>
      </c>
      <c r="W175" s="18">
        <v>67020</v>
      </c>
      <c r="X175" s="18">
        <v>35932</v>
      </c>
      <c r="Y175" s="11">
        <v>12554.87</v>
      </c>
      <c r="Z175" s="11">
        <f t="shared" ref="Z175" si="1430">+Z174+Y175</f>
        <v>3044921.9099999997</v>
      </c>
      <c r="AA175" s="14">
        <f t="shared" ref="AA175" si="1431">+Z175/D$4</f>
        <v>3.1717926905052041E-2</v>
      </c>
      <c r="AB175" s="11">
        <v>5958681.2800000003</v>
      </c>
      <c r="AC175" s="14">
        <f t="shared" ref="AC175" si="1432">+AB175/AB$4</f>
        <v>6.8966218518518516E-2</v>
      </c>
      <c r="AD175" s="13">
        <f t="shared" ref="AD175" si="1433">+AB175*$AD$2</f>
        <v>4965567.7333333334</v>
      </c>
      <c r="AE175" s="19">
        <v>9600000</v>
      </c>
      <c r="AF175" s="12">
        <f t="shared" ref="AF175" si="1434">+AE175/$AE$4</f>
        <v>1</v>
      </c>
      <c r="AG175" s="12">
        <f t="shared" ref="AG175" si="1435">+AB175/D175</f>
        <v>0.21237763120430603</v>
      </c>
      <c r="AH175" s="11">
        <f t="shared" ref="AH175" si="1436">AB174*0.01</f>
        <v>62636.704400000002</v>
      </c>
      <c r="AI175" s="14">
        <f t="shared" ref="AI175" si="1437">((+D175+AH175)-AB175)/D175</f>
        <v>0.78985484848068155</v>
      </c>
      <c r="AK175" s="14">
        <f t="shared" ref="AK175" si="1438">+S175/$D175</f>
        <v>0.90515807568346074</v>
      </c>
      <c r="AL175" s="14">
        <f t="shared" ref="AL175" si="1439">+T175/$D175</f>
        <v>4.2271040586798383E-2</v>
      </c>
      <c r="AM175" s="14">
        <f t="shared" ref="AM175" si="1440">+U175/$D175</f>
        <v>2.141286631335888E-2</v>
      </c>
      <c r="AN175" s="14">
        <f t="shared" ref="AN175" si="1441">+V175/$D175</f>
        <v>6.4656212936846889E-3</v>
      </c>
      <c r="AO175" s="14">
        <f t="shared" ref="AO175" si="1442">+W175/$D175</f>
        <v>2.3887078657968746E-3</v>
      </c>
      <c r="AP175" s="14">
        <f t="shared" ref="AP175" si="1443">+X175/$D175</f>
        <v>1.2806781711998403E-3</v>
      </c>
      <c r="AQ175" s="14">
        <f t="shared" ref="AQ175" si="1444">+Y175/$D175</f>
        <v>4.4747712209873488E-4</v>
      </c>
    </row>
    <row r="176" spans="1:43" x14ac:dyDescent="0.25">
      <c r="A176" s="10">
        <f t="shared" si="134"/>
        <v>172</v>
      </c>
      <c r="B176" s="15">
        <f t="shared" si="110"/>
        <v>45731</v>
      </c>
      <c r="C176" s="43">
        <v>1830</v>
      </c>
      <c r="D176" s="11">
        <v>27894162.010000002</v>
      </c>
      <c r="E176" s="12">
        <f t="shared" ref="E176" si="1445">+D176/D$4</f>
        <v>0.29056409913345188</v>
      </c>
      <c r="F176" s="11">
        <v>38985.82</v>
      </c>
      <c r="M176" s="17">
        <f>IF(F176&gt;0.01,F176,#REF!)/D175</f>
        <v>1.3895215590650719E-3</v>
      </c>
      <c r="N176" s="17">
        <f t="shared" ref="N176" si="1446">1-(+M176-1)^12</f>
        <v>1.6547416263102632E-2</v>
      </c>
      <c r="O176" s="20">
        <f t="shared" ref="O176" si="1447">AVERAGE(N174:N176)</f>
        <v>2.7348450104779081E-2</v>
      </c>
      <c r="P176" s="20">
        <f t="shared" ref="P176" si="1448">AVERAGE(N171:N176)</f>
        <v>3.2038651039542808E-2</v>
      </c>
      <c r="Q176" s="17">
        <f t="shared" ref="Q176" si="1449">AVERAGE(N165:N176)</f>
        <v>3.3393339836746715E-2</v>
      </c>
      <c r="R176" s="11">
        <v>0</v>
      </c>
      <c r="S176" s="18">
        <v>25274848</v>
      </c>
      <c r="T176" s="18">
        <v>1060390</v>
      </c>
      <c r="U176" s="18">
        <v>692570</v>
      </c>
      <c r="V176" s="18">
        <v>189531</v>
      </c>
      <c r="W176" s="18">
        <v>40458</v>
      </c>
      <c r="X176" s="18">
        <v>86446</v>
      </c>
      <c r="Y176" s="11">
        <v>8167.54</v>
      </c>
      <c r="Z176" s="11">
        <f t="shared" ref="Z176" si="1450">+Z175+Y176</f>
        <v>3053089.4499999997</v>
      </c>
      <c r="AA176" s="14">
        <f t="shared" ref="AA176" si="1451">+Z176/D$4</f>
        <v>3.1803005420814073E-2</v>
      </c>
      <c r="AB176" s="11">
        <v>5757420.4100000001</v>
      </c>
      <c r="AC176" s="14">
        <f t="shared" ref="AC176" si="1452">+AB176/AB$4</f>
        <v>6.6636810300925928E-2</v>
      </c>
      <c r="AD176" s="13">
        <f t="shared" ref="AD176" si="1453">+AB176*$AD$2</f>
        <v>4797850.3416666668</v>
      </c>
      <c r="AE176" s="19">
        <v>9600000</v>
      </c>
      <c r="AF176" s="12">
        <f t="shared" ref="AF176" si="1454">+AE176/$AE$4</f>
        <v>1</v>
      </c>
      <c r="AG176" s="12">
        <f t="shared" ref="AG176" si="1455">+AB176/D176</f>
        <v>0.20640234354184853</v>
      </c>
      <c r="AH176" s="11">
        <f t="shared" ref="AH176" si="1456">AB175*0.01</f>
        <v>59586.812800000007</v>
      </c>
      <c r="AI176" s="14">
        <f t="shared" ref="AI176" si="1457">((+D176+AH176)-AB176)/D176</f>
        <v>0.79573383150361943</v>
      </c>
      <c r="AK176" s="14">
        <f t="shared" ref="AK176" si="1458">+S176/$D176</f>
        <v>0.90609812873887441</v>
      </c>
      <c r="AL176" s="14">
        <f t="shared" ref="AL176" si="1459">+T176/$D176</f>
        <v>3.8014764509500316E-2</v>
      </c>
      <c r="AM176" s="14">
        <f t="shared" ref="AM176" si="1460">+U176/$D176</f>
        <v>2.4828492777510758E-2</v>
      </c>
      <c r="AN176" s="14">
        <f t="shared" ref="AN176" si="1461">+V176/$D176</f>
        <v>6.7946475657542074E-3</v>
      </c>
      <c r="AO176" s="14">
        <f t="shared" ref="AO176" si="1462">+W176/$D176</f>
        <v>1.4504110209690431E-3</v>
      </c>
      <c r="AP176" s="14">
        <f t="shared" ref="AP176" si="1463">+X176/$D176</f>
        <v>3.0990714103190939E-3</v>
      </c>
      <c r="AQ176" s="14">
        <f t="shared" ref="AQ176" si="1464">+Y176/$D176</f>
        <v>2.9280463765399918E-4</v>
      </c>
    </row>
    <row r="177" spans="1:43" x14ac:dyDescent="0.25">
      <c r="A177" s="10">
        <f t="shared" si="134"/>
        <v>173</v>
      </c>
      <c r="B177" s="15">
        <f t="shared" si="110"/>
        <v>45762</v>
      </c>
      <c r="C177" s="43">
        <v>1827</v>
      </c>
      <c r="D177" s="11">
        <v>27715560.850000001</v>
      </c>
      <c r="E177" s="12">
        <f t="shared" ref="E177" si="1465">+D177/D$4</f>
        <v>0.2887036709499135</v>
      </c>
      <c r="F177" s="11">
        <v>42399.26</v>
      </c>
      <c r="M177" s="17">
        <f>IF(F177&gt;0.01,F177,#REF!)/D176</f>
        <v>1.5200047947237115E-3</v>
      </c>
      <c r="N177" s="17">
        <f t="shared" ref="N177" si="1466">1-(+M177-1)^12</f>
        <v>1.8088340143837867E-2</v>
      </c>
      <c r="O177" s="20">
        <f t="shared" ref="O177" si="1467">AVERAGE(N175:N177)</f>
        <v>2.0183395936621367E-2</v>
      </c>
      <c r="P177" s="20">
        <f t="shared" ref="P177" si="1468">AVERAGE(N172:N177)</f>
        <v>2.7538491273857379E-2</v>
      </c>
      <c r="Q177" s="17">
        <f t="shared" ref="Q177" si="1469">AVERAGE(N166:N177)</f>
        <v>3.1524788234332801E-2</v>
      </c>
      <c r="R177" s="11">
        <v>0</v>
      </c>
      <c r="S177" s="18">
        <v>25132982</v>
      </c>
      <c r="T177" s="18">
        <v>1080758</v>
      </c>
      <c r="U177" s="18">
        <v>643648</v>
      </c>
      <c r="V177" s="18">
        <v>183714</v>
      </c>
      <c r="W177" s="18">
        <v>99989</v>
      </c>
      <c r="X177" s="18">
        <v>24854</v>
      </c>
      <c r="Y177" s="11">
        <v>0</v>
      </c>
      <c r="Z177" s="11">
        <f t="shared" ref="Z177" si="1470">+Z176+Y177</f>
        <v>3053089.4499999997</v>
      </c>
      <c r="AA177" s="14">
        <f t="shared" ref="AA177" si="1471">+Z177/D$4</f>
        <v>3.1803005420814073E-2</v>
      </c>
      <c r="AB177" s="11">
        <v>5518983.8799999999</v>
      </c>
      <c r="AC177" s="14">
        <f t="shared" ref="AC177" si="1472">+AB177/AB$4</f>
        <v>6.3877128240740738E-2</v>
      </c>
      <c r="AD177" s="13">
        <f t="shared" ref="AD177" si="1473">+AB177*$AD$2</f>
        <v>4599153.2333333334</v>
      </c>
      <c r="AE177" s="19">
        <v>9600000</v>
      </c>
      <c r="AF177" s="12">
        <f t="shared" ref="AF177" si="1474">+AE177/$AE$4</f>
        <v>1</v>
      </c>
      <c r="AG177" s="12">
        <f t="shared" ref="AG177" si="1475">+AB177/D177</f>
        <v>0.19912943165283264</v>
      </c>
      <c r="AH177" s="11">
        <f t="shared" ref="AH177" si="1476">AB176*0.01</f>
        <v>57574.204100000003</v>
      </c>
      <c r="AI177" s="14">
        <f t="shared" ref="AI177" si="1477">((+D177+AH177)-AB177)/D177</f>
        <v>0.80294789250494292</v>
      </c>
      <c r="AK177" s="14">
        <f t="shared" ref="AK177" si="1478">+S177/$D177</f>
        <v>0.9068184524939894</v>
      </c>
      <c r="AL177" s="14">
        <f t="shared" ref="AL177" si="1479">+T177/$D177</f>
        <v>3.8994628535543419E-2</v>
      </c>
      <c r="AM177" s="14">
        <f t="shared" ref="AM177" si="1480">+U177/$D177</f>
        <v>2.3223343863885762E-2</v>
      </c>
      <c r="AN177" s="14">
        <f t="shared" ref="AN177" si="1481">+V177/$D177</f>
        <v>6.628550690144161E-3</v>
      </c>
      <c r="AO177" s="14">
        <f t="shared" ref="AO177" si="1482">+W177/$D177</f>
        <v>3.6076845257129262E-3</v>
      </c>
      <c r="AP177" s="14">
        <f t="shared" ref="AP177" si="1483">+X177/$D177</f>
        <v>8.967525548017189E-4</v>
      </c>
      <c r="AQ177" s="14">
        <f t="shared" ref="AQ177" si="1484">+Y177/$D177</f>
        <v>0</v>
      </c>
    </row>
    <row r="178" spans="1:43" x14ac:dyDescent="0.25">
      <c r="A178" s="10">
        <f t="shared" si="134"/>
        <v>174</v>
      </c>
      <c r="B178" s="15">
        <f t="shared" si="110"/>
        <v>45792</v>
      </c>
      <c r="C178" s="43">
        <v>1821</v>
      </c>
      <c r="D178" s="11">
        <v>27483507.210000001</v>
      </c>
      <c r="E178" s="12">
        <f t="shared" ref="E178" si="1485">+D178/D$4</f>
        <v>0.28628644626924143</v>
      </c>
      <c r="F178" s="11">
        <v>10050.02</v>
      </c>
      <c r="M178" s="17">
        <f>IF(F178&gt;0.01,F178,#REF!)/D177</f>
        <v>3.6261290379047118E-4</v>
      </c>
      <c r="N178" s="17">
        <f t="shared" ref="N178" si="1486">1-(+M178-1)^12</f>
        <v>4.3426871105884945E-3</v>
      </c>
      <c r="O178" s="20">
        <f t="shared" ref="O178" si="1487">AVERAGE(N176:N178)</f>
        <v>1.2992814505842998E-2</v>
      </c>
      <c r="P178" s="20">
        <f t="shared" ref="P178" si="1488">AVERAGE(N173:N178)</f>
        <v>2.3854278278331437E-2</v>
      </c>
      <c r="Q178" s="17">
        <f t="shared" ref="Q178" si="1489">AVERAGE(N167:N178)</f>
        <v>2.7963707227357998E-2</v>
      </c>
      <c r="R178" s="11">
        <v>0</v>
      </c>
      <c r="S178" s="18">
        <v>24949115</v>
      </c>
      <c r="T178" s="18">
        <v>1098664</v>
      </c>
      <c r="U178" s="18">
        <v>477760</v>
      </c>
      <c r="V178" s="18">
        <v>269288</v>
      </c>
      <c r="W178" s="18">
        <v>102431</v>
      </c>
      <c r="X178" s="18">
        <v>34749</v>
      </c>
      <c r="Y178" s="11">
        <v>12699.44</v>
      </c>
      <c r="Z178" s="11">
        <f t="shared" ref="Z178" si="1490">+Z177+Y178</f>
        <v>3065788.8899999997</v>
      </c>
      <c r="AA178" s="14">
        <f t="shared" ref="AA178" si="1491">+Z178/D$4</f>
        <v>3.1935291213869142E-2</v>
      </c>
      <c r="AB178" s="11">
        <v>5242247.16</v>
      </c>
      <c r="AC178" s="14">
        <f t="shared" ref="AC178" si="1492">+AB178/AB$4</f>
        <v>6.0674156944444446E-2</v>
      </c>
      <c r="AD178" s="13">
        <f t="shared" ref="AD178" si="1493">+AB178*$AD$2</f>
        <v>4368539.3000000007</v>
      </c>
      <c r="AE178" s="19">
        <v>9600000</v>
      </c>
      <c r="AF178" s="12">
        <f t="shared" ref="AF178" si="1494">+AE178/$AE$4</f>
        <v>1</v>
      </c>
      <c r="AG178" s="12">
        <f t="shared" ref="AG178" si="1495">+AB178/D178</f>
        <v>0.19074156438420584</v>
      </c>
      <c r="AH178" s="11">
        <f t="shared" ref="AH178" si="1496">AB177*0.01</f>
        <v>55189.838799999998</v>
      </c>
      <c r="AI178" s="14">
        <f t="shared" ref="AI178" si="1497">((+D178+AH178)-AB178)/D178</f>
        <v>0.81126654318293601</v>
      </c>
      <c r="AK178" s="14">
        <f t="shared" ref="AK178" si="1498">+S178/$D178</f>
        <v>0.90778497843689143</v>
      </c>
      <c r="AL178" s="14">
        <f t="shared" ref="AL178" si="1499">+T178/$D178</f>
        <v>3.997539293675903E-2</v>
      </c>
      <c r="AM178" s="14">
        <f t="shared" ref="AM178" si="1500">+U178/$D178</f>
        <v>1.738351646132575E-2</v>
      </c>
      <c r="AN178" s="14">
        <f t="shared" ref="AN178" si="1501">+V178/$D178</f>
        <v>9.7981672405339278E-3</v>
      </c>
      <c r="AO178" s="14">
        <f t="shared" ref="AO178" si="1502">+W178/$D178</f>
        <v>3.7269988585274154E-3</v>
      </c>
      <c r="AP178" s="14">
        <f t="shared" ref="AP178" si="1503">+X178/$D178</f>
        <v>1.2643582834783334E-3</v>
      </c>
      <c r="AQ178" s="14">
        <f t="shared" ref="AQ178" si="1504">+Y178/$D178</f>
        <v>4.6207494199936939E-4</v>
      </c>
    </row>
    <row r="179" spans="1:43" x14ac:dyDescent="0.25">
      <c r="A179" s="10">
        <f t="shared" si="134"/>
        <v>175</v>
      </c>
      <c r="B179" s="15">
        <f t="shared" si="110"/>
        <v>45823</v>
      </c>
      <c r="C179" s="43">
        <v>1820</v>
      </c>
      <c r="D179" s="11">
        <v>27340540.940000001</v>
      </c>
      <c r="E179" s="12">
        <f t="shared" ref="E179" si="1505">+D179/D$4</f>
        <v>0.28479721474351471</v>
      </c>
      <c r="F179" s="11">
        <v>112058.87</v>
      </c>
      <c r="M179" s="17">
        <f>IF(F179&gt;0.01,F179,#REF!)/D178</f>
        <v>4.077313318993977E-3</v>
      </c>
      <c r="N179" s="17">
        <f t="shared" ref="N179" si="1506">1-(+M179-1)^12</f>
        <v>4.784532028434263E-2</v>
      </c>
      <c r="O179" s="20">
        <f t="shared" ref="O179" si="1507">AVERAGE(N177:N179)</f>
        <v>2.3425449179589664E-2</v>
      </c>
      <c r="P179" s="20">
        <f t="shared" ref="P179" si="1508">AVERAGE(N174:N179)</f>
        <v>2.5386949642184371E-2</v>
      </c>
      <c r="Q179" s="17">
        <f t="shared" ref="Q179" si="1509">AVERAGE(N168:N179)</f>
        <v>3.0223404077653827E-2</v>
      </c>
      <c r="R179" s="11">
        <v>0</v>
      </c>
      <c r="S179" s="18">
        <v>24769879</v>
      </c>
      <c r="T179" s="18">
        <v>1149735</v>
      </c>
      <c r="U179" s="18">
        <v>590802</v>
      </c>
      <c r="V179" s="18">
        <v>180392</v>
      </c>
      <c r="W179" s="18">
        <v>89427</v>
      </c>
      <c r="X179" s="18">
        <v>63493</v>
      </c>
      <c r="Y179" s="11">
        <v>0</v>
      </c>
      <c r="Z179" s="11">
        <f t="shared" ref="Z179" si="1510">+Z178+Y179</f>
        <v>3065788.8899999997</v>
      </c>
      <c r="AA179" s="14">
        <f t="shared" ref="AA179" si="1511">+Z179/D$4</f>
        <v>3.1935291213869142E-2</v>
      </c>
      <c r="AB179" s="11">
        <v>0</v>
      </c>
      <c r="AC179" s="14">
        <f t="shared" ref="AC179" si="1512">+AB179/AB$4</f>
        <v>0</v>
      </c>
      <c r="AD179" s="13">
        <f t="shared" ref="AD179" si="1513">+AB179*$AD$2</f>
        <v>0</v>
      </c>
      <c r="AE179" s="19">
        <v>0</v>
      </c>
      <c r="AF179" s="12">
        <f t="shared" ref="AF179" si="1514">+AE179/$AE$4</f>
        <v>0</v>
      </c>
      <c r="AG179" s="12">
        <f t="shared" ref="AG179" si="1515">+AB179/D179</f>
        <v>0</v>
      </c>
      <c r="AH179" s="11">
        <v>0</v>
      </c>
      <c r="AI179" s="14">
        <f t="shared" ref="AI179" si="1516">((+D179+AH179)-AB179)/D179</f>
        <v>1</v>
      </c>
      <c r="AK179" s="14">
        <f t="shared" ref="AK179" si="1517">+S179/$D179</f>
        <v>0.90597618585376827</v>
      </c>
      <c r="AL179" s="14">
        <f t="shared" ref="AL179" si="1518">+T179/$D179</f>
        <v>4.2052386692828909E-2</v>
      </c>
      <c r="AM179" s="14">
        <f t="shared" ref="AM179" si="1519">+U179/$D179</f>
        <v>2.1609009174198144E-2</v>
      </c>
      <c r="AN179" s="14">
        <f t="shared" ref="AN179" si="1520">+V179/$D179</f>
        <v>6.5979674797173194E-3</v>
      </c>
      <c r="AO179" s="14">
        <f t="shared" ref="AO179" si="1521">+W179/$D179</f>
        <v>3.2708570103368259E-3</v>
      </c>
      <c r="AP179" s="14">
        <f t="shared" ref="AP179" si="1522">+X179/$D179</f>
        <v>2.3223022594665603E-3</v>
      </c>
      <c r="AQ179" s="14">
        <f t="shared" ref="AQ179" si="1523">+Y179/$D179</f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R145"/>
  <sheetViews>
    <sheetView showGridLines="0" tabSelected="1" workbookViewId="0">
      <pane xSplit="2" ySplit="3" topLeftCell="AE139" activePane="bottomRight" state="frozen"/>
      <selection pane="topRight" activeCell="C1" sqref="C1"/>
      <selection pane="bottomLeft" activeCell="A4" sqref="A4"/>
      <selection pane="bottomRight" activeCell="AI155" sqref="AI155"/>
    </sheetView>
  </sheetViews>
  <sheetFormatPr baseColWidth="10" defaultColWidth="9.140625" defaultRowHeight="15" x14ac:dyDescent="0.25"/>
  <cols>
    <col min="2" max="2" width="9.7109375" bestFit="1" customWidth="1"/>
    <col min="4" max="4" width="14.28515625" bestFit="1" customWidth="1"/>
    <col min="6" max="6" width="11.42578125" customWidth="1"/>
    <col min="7" max="7" width="16.28515625" hidden="1" customWidth="1"/>
    <col min="8" max="9" width="14.42578125" hidden="1" customWidth="1"/>
    <col min="10" max="10" width="14.140625" hidden="1" customWidth="1"/>
    <col min="11" max="11" width="13.5703125" hidden="1" customWidth="1"/>
    <col min="12" max="12" width="14.5703125" hidden="1" customWidth="1"/>
    <col min="15" max="15" width="12.42578125" customWidth="1"/>
    <col min="16" max="16" width="12.85546875" customWidth="1"/>
    <col min="17" max="17" width="12.42578125" customWidth="1"/>
    <col min="18" max="18" width="13.28515625" bestFit="1" customWidth="1"/>
    <col min="19" max="19" width="15.28515625" bestFit="1" customWidth="1"/>
    <col min="20" max="20" width="13.28515625" bestFit="1" customWidth="1"/>
    <col min="21" max="22" width="11.5703125" bestFit="1" customWidth="1"/>
    <col min="23" max="24" width="10.5703125" bestFit="1" customWidth="1"/>
    <col min="25" max="25" width="10.7109375" customWidth="1"/>
    <col min="26" max="26" width="17.7109375" bestFit="1" customWidth="1"/>
    <col min="27" max="27" width="10" bestFit="1" customWidth="1"/>
    <col min="28" max="28" width="20.5703125" bestFit="1" customWidth="1"/>
    <col min="30" max="30" width="14.28515625" bestFit="1" customWidth="1"/>
    <col min="31" max="31" width="13.28515625" bestFit="1" customWidth="1"/>
    <col min="33" max="33" width="13.28515625" bestFit="1" customWidth="1"/>
    <col min="36" max="36" width="14.85546875" bestFit="1" customWidth="1"/>
  </cols>
  <sheetData>
    <row r="1" spans="1:44" x14ac:dyDescent="0.25">
      <c r="F1" s="35" t="s">
        <v>50</v>
      </c>
      <c r="G1" s="35" t="s">
        <v>52</v>
      </c>
      <c r="H1" s="35" t="s">
        <v>52</v>
      </c>
      <c r="I1" s="35" t="s">
        <v>46</v>
      </c>
      <c r="J1" s="35" t="s">
        <v>46</v>
      </c>
      <c r="L1" s="35" t="s">
        <v>20</v>
      </c>
    </row>
    <row r="2" spans="1:44" x14ac:dyDescent="0.25">
      <c r="A2" s="24"/>
      <c r="B2" s="24" t="s">
        <v>32</v>
      </c>
      <c r="F2" s="24" t="s">
        <v>51</v>
      </c>
      <c r="G2" s="24" t="s">
        <v>53</v>
      </c>
      <c r="H2" s="24" t="s">
        <v>55</v>
      </c>
      <c r="I2" s="24" t="s">
        <v>57</v>
      </c>
      <c r="J2" s="24" t="s">
        <v>35</v>
      </c>
      <c r="K2" s="24" t="s">
        <v>38</v>
      </c>
      <c r="L2" s="35" t="s">
        <v>59</v>
      </c>
      <c r="O2" s="24" t="s">
        <v>43</v>
      </c>
      <c r="P2" s="24" t="s">
        <v>47</v>
      </c>
      <c r="Q2" s="24" t="s">
        <v>48</v>
      </c>
      <c r="R2" s="24" t="s">
        <v>25</v>
      </c>
      <c r="Z2" s="24" t="s">
        <v>40</v>
      </c>
      <c r="AA2" s="24" t="s">
        <v>40</v>
      </c>
      <c r="AD2" s="33">
        <v>0.82417582417582413</v>
      </c>
    </row>
    <row r="3" spans="1:44" s="29" customFormat="1" ht="12.75" x14ac:dyDescent="0.2">
      <c r="A3" s="28" t="s">
        <v>17</v>
      </c>
      <c r="B3" s="28" t="s">
        <v>33</v>
      </c>
      <c r="C3" s="28" t="s">
        <v>0</v>
      </c>
      <c r="D3" s="28" t="s">
        <v>18</v>
      </c>
      <c r="E3" s="28" t="s">
        <v>6</v>
      </c>
      <c r="F3" s="28" t="s">
        <v>36</v>
      </c>
      <c r="G3" s="28" t="s">
        <v>54</v>
      </c>
      <c r="H3" s="28" t="s">
        <v>56</v>
      </c>
      <c r="I3" s="28" t="s">
        <v>58</v>
      </c>
      <c r="J3" s="28" t="s">
        <v>37</v>
      </c>
      <c r="K3" s="28" t="s">
        <v>39</v>
      </c>
      <c r="L3" s="30" t="s">
        <v>35</v>
      </c>
      <c r="M3" s="28" t="s">
        <v>60</v>
      </c>
      <c r="N3" s="28" t="s">
        <v>61</v>
      </c>
      <c r="O3" s="28" t="s">
        <v>44</v>
      </c>
      <c r="P3" s="28" t="s">
        <v>44</v>
      </c>
      <c r="Q3" s="28" t="s">
        <v>44</v>
      </c>
      <c r="R3" s="24" t="s">
        <v>21</v>
      </c>
      <c r="S3" s="28" t="s">
        <v>9</v>
      </c>
      <c r="T3" s="28" t="s">
        <v>10</v>
      </c>
      <c r="U3" s="28" t="s">
        <v>11</v>
      </c>
      <c r="V3" s="28" t="s">
        <v>12</v>
      </c>
      <c r="W3" s="28" t="s">
        <v>13</v>
      </c>
      <c r="X3" s="28" t="s">
        <v>14</v>
      </c>
      <c r="Y3" s="28" t="s">
        <v>15</v>
      </c>
      <c r="Z3" s="28" t="s">
        <v>41</v>
      </c>
      <c r="AA3" s="28" t="s">
        <v>41</v>
      </c>
      <c r="AB3" s="28" t="s">
        <v>49</v>
      </c>
      <c r="AC3" s="28" t="s">
        <v>3</v>
      </c>
      <c r="AD3" s="29" t="s">
        <v>30</v>
      </c>
      <c r="AE3" s="28" t="s">
        <v>2</v>
      </c>
      <c r="AF3" s="28" t="s">
        <v>4</v>
      </c>
      <c r="AG3" s="28" t="s">
        <v>27</v>
      </c>
      <c r="AH3" s="28" t="s">
        <v>28</v>
      </c>
      <c r="AI3" s="28" t="s">
        <v>5</v>
      </c>
      <c r="AJ3" s="28" t="s">
        <v>65</v>
      </c>
      <c r="AK3" s="28" t="s">
        <v>22</v>
      </c>
      <c r="AL3" s="28" t="s">
        <v>9</v>
      </c>
      <c r="AM3" s="28" t="s">
        <v>10</v>
      </c>
      <c r="AN3" s="28" t="s">
        <v>11</v>
      </c>
      <c r="AO3" s="28" t="s">
        <v>12</v>
      </c>
      <c r="AP3" s="28" t="s">
        <v>13</v>
      </c>
      <c r="AQ3" s="28" t="s">
        <v>14</v>
      </c>
      <c r="AR3" s="28" t="s">
        <v>19</v>
      </c>
    </row>
    <row r="4" spans="1:44" x14ac:dyDescent="0.25">
      <c r="A4">
        <v>0</v>
      </c>
      <c r="C4">
        <v>2766</v>
      </c>
      <c r="D4" s="2">
        <v>75000125.489999995</v>
      </c>
      <c r="E4" s="8">
        <f>+D4/D$4</f>
        <v>1</v>
      </c>
      <c r="AB4" s="2">
        <v>68250000</v>
      </c>
      <c r="AC4" s="8">
        <f>+AB4/$AB$4</f>
        <v>1</v>
      </c>
      <c r="AD4" s="25">
        <f>+$AD$2*AB4</f>
        <v>56250000</v>
      </c>
      <c r="AE4" s="2">
        <v>6000000</v>
      </c>
      <c r="AF4" s="8">
        <f>+AE4/$AE$4</f>
        <v>1</v>
      </c>
      <c r="AG4" s="2">
        <v>750000</v>
      </c>
      <c r="AH4" s="8">
        <f>+AG4/$AG$4</f>
        <v>1</v>
      </c>
      <c r="AI4" s="8">
        <f t="shared" ref="AI4:AI35" si="0">+AB4/D4</f>
        <v>0.90999847739054773</v>
      </c>
      <c r="AJ4" s="2">
        <v>682500</v>
      </c>
      <c r="AK4" s="4">
        <f t="shared" ref="AK4:AK35" si="1">((+D4+AJ4)-AB4)/D4</f>
        <v>9.9101507383357781E-2</v>
      </c>
      <c r="AL4" s="4"/>
      <c r="AM4" s="4"/>
      <c r="AN4" s="4"/>
      <c r="AO4" s="4"/>
      <c r="AP4" s="4"/>
      <c r="AQ4" s="4"/>
      <c r="AR4" s="4"/>
    </row>
    <row r="5" spans="1:44" x14ac:dyDescent="0.25">
      <c r="A5">
        <f>+A4+1</f>
        <v>1</v>
      </c>
      <c r="B5" s="3">
        <v>41896</v>
      </c>
      <c r="C5">
        <v>2745</v>
      </c>
      <c r="D5" s="2">
        <v>74073157.890000001</v>
      </c>
      <c r="E5" s="8">
        <f>+D5/D$4</f>
        <v>0.98764045267999467</v>
      </c>
      <c r="F5" s="1">
        <v>554611.92000000004</v>
      </c>
      <c r="G5" s="1"/>
      <c r="H5" s="1"/>
      <c r="I5" s="1"/>
      <c r="J5" s="1"/>
      <c r="K5" s="1"/>
      <c r="L5" s="1"/>
      <c r="M5" s="6">
        <f t="shared" ref="M5:M36" si="2">+F5/D4</f>
        <v>7.3948132269985095E-3</v>
      </c>
      <c r="N5" s="6">
        <f t="shared" ref="N5:N8" si="3">1-(+M5-1)^12</f>
        <v>8.521616252594344E-2</v>
      </c>
      <c r="R5" s="2">
        <v>0</v>
      </c>
      <c r="S5" s="26">
        <v>73424940</v>
      </c>
      <c r="T5" s="26">
        <v>648218</v>
      </c>
      <c r="U5" s="26">
        <v>0</v>
      </c>
      <c r="V5" s="26">
        <v>0</v>
      </c>
      <c r="W5" s="26">
        <v>0</v>
      </c>
      <c r="X5" s="26">
        <v>0</v>
      </c>
      <c r="Y5" s="26">
        <v>0</v>
      </c>
      <c r="Z5" s="26">
        <f>+Z4+Y5</f>
        <v>0</v>
      </c>
      <c r="AA5" s="4">
        <f>+Z5/$D$4</f>
        <v>0</v>
      </c>
      <c r="AB5" s="2">
        <v>67609490.109999999</v>
      </c>
      <c r="AC5" s="4">
        <f>+AB5/AB$4</f>
        <v>0.99061523970695975</v>
      </c>
      <c r="AD5" s="25">
        <f t="shared" ref="AD5:AD60" si="4">+$AD$2*AB5</f>
        <v>55722107.233516477</v>
      </c>
      <c r="AE5" s="2">
        <v>6000000</v>
      </c>
      <c r="AF5" s="8">
        <f t="shared" ref="AF5:AF60" si="5">+AE5/$AE$4</f>
        <v>1</v>
      </c>
      <c r="AG5" s="2">
        <f t="shared" ref="AG5:AG49" si="6">+AG4</f>
        <v>750000</v>
      </c>
      <c r="AH5" s="8">
        <f t="shared" ref="AH5:AH9" si="7">+AG5/$AG$4</f>
        <v>1</v>
      </c>
      <c r="AI5" s="8">
        <f t="shared" si="0"/>
        <v>0.9127394056886482</v>
      </c>
      <c r="AJ5" s="2">
        <f t="shared" ref="AJ5:AJ10" si="8">+AB5*0.01</f>
        <v>676094.90110000002</v>
      </c>
      <c r="AK5" s="4">
        <f t="shared" si="1"/>
        <v>9.6387988368238253E-2</v>
      </c>
      <c r="AL5" s="4">
        <f t="shared" ref="AL5:AL36" si="9">+S5/$D5</f>
        <v>0.99124895024777238</v>
      </c>
      <c r="AM5" s="4">
        <f t="shared" ref="AM5:AM36" si="10">+T5/$D5</f>
        <v>8.7510512372459617E-3</v>
      </c>
      <c r="AN5" s="4">
        <f t="shared" ref="AN5:AN36" si="11">+U5/$D5</f>
        <v>0</v>
      </c>
      <c r="AO5" s="4">
        <f t="shared" ref="AO5:AO36" si="12">+V5/$D5</f>
        <v>0</v>
      </c>
      <c r="AP5" s="4">
        <f t="shared" ref="AP5:AP36" si="13">+W5/$D5</f>
        <v>0</v>
      </c>
      <c r="AQ5" s="4">
        <f t="shared" ref="AQ5:AQ36" si="14">+X5/$D5</f>
        <v>0</v>
      </c>
      <c r="AR5" s="4">
        <f t="shared" ref="AR5:AR36" si="15">+Y5/$D5</f>
        <v>0</v>
      </c>
    </row>
    <row r="6" spans="1:44" x14ac:dyDescent="0.25">
      <c r="A6">
        <f t="shared" ref="A6:A7" si="16">+A5+1</f>
        <v>2</v>
      </c>
      <c r="B6" s="3">
        <f t="shared" ref="B6:B29" si="17">DATE(YEAR(B5),MONTH(B5)+1,15)</f>
        <v>41927</v>
      </c>
      <c r="C6">
        <v>2736</v>
      </c>
      <c r="D6" s="2">
        <v>73585708.260000005</v>
      </c>
      <c r="E6" s="8">
        <f t="shared" ref="E6:E49" si="18">+D6/D$4</f>
        <v>0.98114113515465284</v>
      </c>
      <c r="F6" s="1">
        <v>234801.89</v>
      </c>
      <c r="G6" s="1"/>
      <c r="H6" s="1"/>
      <c r="I6" s="1"/>
      <c r="J6" s="1"/>
      <c r="K6" s="1"/>
      <c r="L6" s="1"/>
      <c r="M6" s="6">
        <f t="shared" si="2"/>
        <v>3.169864721424259E-3</v>
      </c>
      <c r="N6" s="6">
        <f t="shared" si="3"/>
        <v>3.7382163343318342E-2</v>
      </c>
      <c r="O6" s="27"/>
      <c r="R6" s="2">
        <v>0</v>
      </c>
      <c r="S6" s="26">
        <v>72904264</v>
      </c>
      <c r="T6" s="26">
        <v>585808</v>
      </c>
      <c r="U6" s="26">
        <v>95637</v>
      </c>
      <c r="V6" s="26">
        <v>0</v>
      </c>
      <c r="W6" s="26">
        <v>0</v>
      </c>
      <c r="X6" s="26">
        <v>0</v>
      </c>
      <c r="Y6" s="26">
        <v>0</v>
      </c>
      <c r="Z6" s="26">
        <f t="shared" ref="Z6:Z7" si="19">+Z5+Y6</f>
        <v>0</v>
      </c>
      <c r="AA6" s="4">
        <f t="shared" ref="AA6:AA10" si="20">+Z6/$D$4</f>
        <v>0</v>
      </c>
      <c r="AB6" s="2">
        <v>67235595.420000002</v>
      </c>
      <c r="AC6" s="4">
        <f t="shared" ref="AC6:AC9" si="21">+AB6/AB$4</f>
        <v>0.98513692923076923</v>
      </c>
      <c r="AD6" s="25">
        <f t="shared" si="4"/>
        <v>55413952.269230768</v>
      </c>
      <c r="AE6" s="2">
        <f>+AE5</f>
        <v>6000000</v>
      </c>
      <c r="AF6" s="8">
        <f t="shared" si="5"/>
        <v>1</v>
      </c>
      <c r="AG6" s="2">
        <f t="shared" si="6"/>
        <v>750000</v>
      </c>
      <c r="AH6" s="8">
        <f t="shared" si="7"/>
        <v>1</v>
      </c>
      <c r="AI6" s="8">
        <f t="shared" si="0"/>
        <v>0.9137045359737086</v>
      </c>
      <c r="AJ6" s="2">
        <f t="shared" si="8"/>
        <v>672355.95420000004</v>
      </c>
      <c r="AK6" s="4">
        <f t="shared" si="1"/>
        <v>9.5432509386028472E-2</v>
      </c>
      <c r="AL6" s="4">
        <f t="shared" si="9"/>
        <v>0.9907394482418751</v>
      </c>
      <c r="AM6" s="4">
        <f t="shared" si="10"/>
        <v>7.960893682373316E-3</v>
      </c>
      <c r="AN6" s="4">
        <f t="shared" si="11"/>
        <v>1.2996681320520322E-3</v>
      </c>
      <c r="AO6" s="4">
        <f t="shared" si="12"/>
        <v>0</v>
      </c>
      <c r="AP6" s="4">
        <f t="shared" si="13"/>
        <v>0</v>
      </c>
      <c r="AQ6" s="4">
        <f t="shared" si="14"/>
        <v>0</v>
      </c>
      <c r="AR6" s="4">
        <f t="shared" si="15"/>
        <v>0</v>
      </c>
    </row>
    <row r="7" spans="1:44" x14ac:dyDescent="0.25">
      <c r="A7">
        <f t="shared" si="16"/>
        <v>3</v>
      </c>
      <c r="B7" s="3">
        <f t="shared" si="17"/>
        <v>41958</v>
      </c>
      <c r="C7">
        <v>2723</v>
      </c>
      <c r="D7" s="2">
        <v>73005011.599999994</v>
      </c>
      <c r="E7" s="8">
        <f t="shared" si="18"/>
        <v>0.97339852597625298</v>
      </c>
      <c r="F7" s="1">
        <v>349562.09</v>
      </c>
      <c r="G7" s="1"/>
      <c r="H7" s="1"/>
      <c r="I7" s="1"/>
      <c r="J7" s="1"/>
      <c r="K7" s="1"/>
      <c r="L7" s="1"/>
      <c r="M7" s="6">
        <f t="shared" si="2"/>
        <v>4.7504073585171473E-3</v>
      </c>
      <c r="N7" s="6">
        <f t="shared" si="3"/>
        <v>5.5538841587591703E-2</v>
      </c>
      <c r="O7" s="6">
        <f>AVERAGE(N5:N7)</f>
        <v>5.9379055818951164E-2</v>
      </c>
      <c r="R7" s="2">
        <v>0</v>
      </c>
      <c r="S7" s="26">
        <v>72362937</v>
      </c>
      <c r="T7" s="26">
        <v>551088</v>
      </c>
      <c r="U7" s="26">
        <v>47538</v>
      </c>
      <c r="V7" s="26">
        <v>23448</v>
      </c>
      <c r="W7" s="26">
        <v>0</v>
      </c>
      <c r="X7" s="26">
        <v>0</v>
      </c>
      <c r="Y7" s="26">
        <v>0</v>
      </c>
      <c r="Z7" s="26">
        <f t="shared" si="19"/>
        <v>0</v>
      </c>
      <c r="AA7" s="4">
        <f t="shared" si="20"/>
        <v>0</v>
      </c>
      <c r="AB7" s="2">
        <v>66747526.350000001</v>
      </c>
      <c r="AC7" s="4">
        <f t="shared" si="21"/>
        <v>0.97798573406593414</v>
      </c>
      <c r="AD7" s="25">
        <f t="shared" si="4"/>
        <v>55011697.541208789</v>
      </c>
      <c r="AE7" s="2">
        <f>+AE6</f>
        <v>6000000</v>
      </c>
      <c r="AF7" s="8">
        <f t="shared" si="5"/>
        <v>1</v>
      </c>
      <c r="AG7" s="2">
        <f t="shared" si="6"/>
        <v>750000</v>
      </c>
      <c r="AH7" s="8">
        <f t="shared" si="7"/>
        <v>1</v>
      </c>
      <c r="AI7" s="8">
        <f t="shared" si="0"/>
        <v>0.91428690835246718</v>
      </c>
      <c r="AJ7" s="2">
        <f t="shared" si="8"/>
        <v>667475.2635</v>
      </c>
      <c r="AK7" s="4">
        <f t="shared" si="1"/>
        <v>9.4855960731057509E-2</v>
      </c>
      <c r="AL7" s="4">
        <f t="shared" si="9"/>
        <v>0.99120506132485853</v>
      </c>
      <c r="AM7" s="4">
        <f t="shared" si="10"/>
        <v>7.5486324558025281E-3</v>
      </c>
      <c r="AN7" s="4">
        <f t="shared" si="11"/>
        <v>6.5116077592678584E-4</v>
      </c>
      <c r="AO7" s="4">
        <f t="shared" si="12"/>
        <v>3.211834295496503E-4</v>
      </c>
      <c r="AP7" s="4">
        <f t="shared" si="13"/>
        <v>0</v>
      </c>
      <c r="AQ7" s="4">
        <f t="shared" si="14"/>
        <v>0</v>
      </c>
      <c r="AR7" s="4">
        <f t="shared" si="15"/>
        <v>0</v>
      </c>
    </row>
    <row r="8" spans="1:44" x14ac:dyDescent="0.25">
      <c r="A8">
        <v>4</v>
      </c>
      <c r="B8" s="3">
        <f t="shared" si="17"/>
        <v>41988</v>
      </c>
      <c r="C8">
        <v>2708</v>
      </c>
      <c r="D8" s="2">
        <v>72445498.140000001</v>
      </c>
      <c r="E8" s="8">
        <f t="shared" si="18"/>
        <v>0.96593835899193781</v>
      </c>
      <c r="F8" s="1">
        <v>355680.45</v>
      </c>
      <c r="G8" s="1"/>
      <c r="H8" s="1"/>
      <c r="I8" s="1"/>
      <c r="J8" s="1"/>
      <c r="K8" s="1"/>
      <c r="L8" s="1"/>
      <c r="M8" s="6">
        <f t="shared" si="2"/>
        <v>4.8720004586644029E-3</v>
      </c>
      <c r="N8" s="6">
        <f t="shared" si="3"/>
        <v>5.6922568748734026E-2</v>
      </c>
      <c r="O8" s="6">
        <f>AVERAGE(N6:N8)</f>
        <v>4.9947857893214688E-2</v>
      </c>
      <c r="R8" s="2">
        <v>0</v>
      </c>
      <c r="S8" s="26">
        <v>71495351</v>
      </c>
      <c r="T8" s="26">
        <v>849337</v>
      </c>
      <c r="U8" s="26">
        <v>62856</v>
      </c>
      <c r="V8" s="26">
        <v>14506</v>
      </c>
      <c r="W8" s="26">
        <v>23448</v>
      </c>
      <c r="X8" s="26">
        <v>0</v>
      </c>
      <c r="Y8" s="26">
        <v>0</v>
      </c>
      <c r="Z8" s="26">
        <v>0</v>
      </c>
      <c r="AA8" s="4">
        <f t="shared" si="20"/>
        <v>0</v>
      </c>
      <c r="AB8" s="2">
        <v>66297375.219999999</v>
      </c>
      <c r="AC8" s="4">
        <f t="shared" si="21"/>
        <v>0.97139011311355306</v>
      </c>
      <c r="AD8" s="25">
        <f t="shared" si="4"/>
        <v>54640693.862637356</v>
      </c>
      <c r="AE8" s="2">
        <f>+AE7</f>
        <v>6000000</v>
      </c>
      <c r="AF8" s="8">
        <f t="shared" si="5"/>
        <v>1</v>
      </c>
      <c r="AG8" s="2">
        <f t="shared" si="6"/>
        <v>750000</v>
      </c>
      <c r="AH8" s="8">
        <f t="shared" si="7"/>
        <v>1</v>
      </c>
      <c r="AI8" s="8">
        <f t="shared" si="0"/>
        <v>0.91513450693487075</v>
      </c>
      <c r="AJ8" s="2">
        <f t="shared" si="8"/>
        <v>662973.75219999999</v>
      </c>
      <c r="AK8" s="4">
        <f t="shared" si="1"/>
        <v>9.4016838134477823E-2</v>
      </c>
      <c r="AL8" s="4">
        <f t="shared" si="9"/>
        <v>0.986884662754836</v>
      </c>
      <c r="AM8" s="4">
        <f t="shared" si="10"/>
        <v>1.1723806472538392E-2</v>
      </c>
      <c r="AN8" s="4">
        <f t="shared" si="11"/>
        <v>8.6763155218467245E-4</v>
      </c>
      <c r="AO8" s="4">
        <f t="shared" si="12"/>
        <v>2.0023328395047185E-4</v>
      </c>
      <c r="AP8" s="4">
        <f t="shared" si="13"/>
        <v>3.2366400400321685E-4</v>
      </c>
      <c r="AQ8" s="4">
        <f t="shared" si="14"/>
        <v>0</v>
      </c>
      <c r="AR8" s="4">
        <f t="shared" si="15"/>
        <v>0</v>
      </c>
    </row>
    <row r="9" spans="1:44" x14ac:dyDescent="0.25">
      <c r="A9">
        <v>5</v>
      </c>
      <c r="B9" s="3">
        <f t="shared" si="17"/>
        <v>42019</v>
      </c>
      <c r="C9">
        <v>2701</v>
      </c>
      <c r="D9" s="2">
        <v>72102981.799999997</v>
      </c>
      <c r="E9" s="8">
        <f t="shared" si="18"/>
        <v>0.96137148209990286</v>
      </c>
      <c r="F9" s="1">
        <v>124225.53</v>
      </c>
      <c r="G9" s="1"/>
      <c r="H9" s="1"/>
      <c r="I9" s="1"/>
      <c r="J9" s="1"/>
      <c r="K9" s="1"/>
      <c r="L9" s="1"/>
      <c r="M9" s="6">
        <f t="shared" si="2"/>
        <v>1.7147446451391051E-3</v>
      </c>
      <c r="N9" s="6">
        <f t="shared" ref="N9" si="22">1-(+M9-1)^12</f>
        <v>2.0383977655288099E-2</v>
      </c>
      <c r="O9" s="6">
        <f>AVERAGE(N7:N9)</f>
        <v>4.4281795997204609E-2</v>
      </c>
      <c r="R9" s="2">
        <v>0</v>
      </c>
      <c r="S9" s="26">
        <v>71055904</v>
      </c>
      <c r="T9" s="26">
        <v>752954</v>
      </c>
      <c r="U9" s="26">
        <v>270675</v>
      </c>
      <c r="V9" s="26">
        <v>0</v>
      </c>
      <c r="X9" s="26">
        <v>23448</v>
      </c>
      <c r="Y9" s="26">
        <v>0</v>
      </c>
      <c r="Z9" s="26">
        <v>0</v>
      </c>
      <c r="AA9" s="4">
        <f t="shared" si="20"/>
        <v>0</v>
      </c>
      <c r="AB9" s="2">
        <v>66049089.039999999</v>
      </c>
      <c r="AC9" s="4">
        <f t="shared" si="21"/>
        <v>0.96775222036630038</v>
      </c>
      <c r="AD9" s="25">
        <f t="shared" si="4"/>
        <v>54436062.395604394</v>
      </c>
      <c r="AE9" s="2">
        <f>+AE8</f>
        <v>6000000</v>
      </c>
      <c r="AF9" s="8">
        <f t="shared" si="5"/>
        <v>1</v>
      </c>
      <c r="AG9" s="2">
        <f t="shared" si="6"/>
        <v>750000</v>
      </c>
      <c r="AH9" s="8">
        <f t="shared" si="7"/>
        <v>1</v>
      </c>
      <c r="AI9" s="8">
        <f t="shared" si="0"/>
        <v>0.91603824683988311</v>
      </c>
      <c r="AJ9" s="2">
        <f t="shared" si="8"/>
        <v>660490.89040000003</v>
      </c>
      <c r="AK9" s="4">
        <f t="shared" si="1"/>
        <v>9.312213562851579E-2</v>
      </c>
      <c r="AL9" s="4">
        <f t="shared" si="9"/>
        <v>0.98547802360096015</v>
      </c>
      <c r="AM9" s="4">
        <f t="shared" si="10"/>
        <v>1.0442758138471328E-2</v>
      </c>
      <c r="AN9" s="4">
        <f t="shared" si="11"/>
        <v>3.7540056353120199E-3</v>
      </c>
      <c r="AO9" s="4">
        <f t="shared" si="12"/>
        <v>0</v>
      </c>
      <c r="AP9" s="4">
        <f t="shared" si="13"/>
        <v>0</v>
      </c>
      <c r="AQ9" s="4">
        <f t="shared" si="14"/>
        <v>3.2520153001494871E-4</v>
      </c>
      <c r="AR9" s="4">
        <f t="shared" si="15"/>
        <v>0</v>
      </c>
    </row>
    <row r="10" spans="1:44" x14ac:dyDescent="0.25">
      <c r="A10">
        <f>+A9+1</f>
        <v>6</v>
      </c>
      <c r="B10" s="3">
        <f t="shared" si="17"/>
        <v>42050</v>
      </c>
      <c r="C10">
        <v>2688</v>
      </c>
      <c r="D10" s="2">
        <v>71573322.819999993</v>
      </c>
      <c r="E10" s="8">
        <f t="shared" si="18"/>
        <v>0.95430937418288841</v>
      </c>
      <c r="F10" s="1">
        <v>289762.8</v>
      </c>
      <c r="G10" s="1"/>
      <c r="H10" s="1"/>
      <c r="I10" s="1"/>
      <c r="J10" s="1"/>
      <c r="K10" s="1"/>
      <c r="L10" s="1"/>
      <c r="M10" s="6">
        <f t="shared" si="2"/>
        <v>4.0187353250347828E-3</v>
      </c>
      <c r="N10" s="6">
        <f t="shared" ref="N10" si="23">1-(+M10-1)^12</f>
        <v>4.7173058970561121E-2</v>
      </c>
      <c r="O10" s="6">
        <f>AVERAGE(N8:N10)</f>
        <v>4.1493201791527747E-2</v>
      </c>
      <c r="P10" s="6">
        <f>AVERAGE(N5:N10)</f>
        <v>5.0436128805239455E-2</v>
      </c>
      <c r="R10" s="2">
        <v>0</v>
      </c>
      <c r="S10" s="26">
        <v>70644078</v>
      </c>
      <c r="T10" s="26">
        <v>725804</v>
      </c>
      <c r="U10" s="26">
        <v>151187</v>
      </c>
      <c r="V10" s="26">
        <v>28806</v>
      </c>
      <c r="W10" s="26">
        <v>0</v>
      </c>
      <c r="X10" s="26">
        <v>0</v>
      </c>
      <c r="Y10" s="26">
        <v>23448.49</v>
      </c>
      <c r="Z10" s="26">
        <f>+Z9+Y10</f>
        <v>23448.49</v>
      </c>
      <c r="AA10" s="4">
        <f t="shared" si="20"/>
        <v>3.1264601021402909E-4</v>
      </c>
      <c r="AB10" s="2">
        <v>65612071.609999999</v>
      </c>
      <c r="AC10" s="4">
        <f t="shared" ref="AC10:AC14" si="24">+AB10/AB$4</f>
        <v>0.96134903457875454</v>
      </c>
      <c r="AD10" s="25">
        <f t="shared" si="4"/>
        <v>54075883.195054941</v>
      </c>
      <c r="AE10" s="2">
        <f>+AE9</f>
        <v>6000000</v>
      </c>
      <c r="AF10" s="8">
        <f t="shared" si="5"/>
        <v>1</v>
      </c>
      <c r="AG10" s="2">
        <f t="shared" si="6"/>
        <v>750000</v>
      </c>
      <c r="AH10" s="8">
        <f t="shared" ref="AH10" si="25">+AG10/$AG$4</f>
        <v>1</v>
      </c>
      <c r="AI10" s="8">
        <f t="shared" si="0"/>
        <v>0.91671126929523772</v>
      </c>
      <c r="AJ10" s="2">
        <f t="shared" si="8"/>
        <v>656120.71609999996</v>
      </c>
      <c r="AK10" s="4">
        <f t="shared" si="1"/>
        <v>9.2455843397714718E-2</v>
      </c>
      <c r="AL10" s="4">
        <f t="shared" si="9"/>
        <v>0.98701688305939139</v>
      </c>
      <c r="AM10" s="4">
        <f t="shared" si="10"/>
        <v>1.0140705662434132E-2</v>
      </c>
      <c r="AN10" s="4">
        <f t="shared" si="11"/>
        <v>2.112337307298429E-3</v>
      </c>
      <c r="AO10" s="4">
        <f t="shared" si="12"/>
        <v>4.0246838996764635E-4</v>
      </c>
      <c r="AP10" s="4">
        <f t="shared" si="13"/>
        <v>0</v>
      </c>
      <c r="AQ10" s="4">
        <f t="shared" si="14"/>
        <v>0</v>
      </c>
      <c r="AR10" s="4">
        <f t="shared" si="15"/>
        <v>3.2761494193822316E-4</v>
      </c>
    </row>
    <row r="11" spans="1:44" x14ac:dyDescent="0.25">
      <c r="A11">
        <f t="shared" ref="A11:A145" si="26">+A10+1</f>
        <v>7</v>
      </c>
      <c r="B11" s="3">
        <f t="shared" si="17"/>
        <v>42078</v>
      </c>
      <c r="C11">
        <v>2678</v>
      </c>
      <c r="D11" s="2">
        <v>71078430.950000003</v>
      </c>
      <c r="E11" s="8">
        <f t="shared" si="18"/>
        <v>0.94771082695691111</v>
      </c>
      <c r="F11" s="1">
        <v>296937.33</v>
      </c>
      <c r="G11" s="1"/>
      <c r="H11" s="1"/>
      <c r="I11" s="1"/>
      <c r="J11" s="1"/>
      <c r="K11" s="1"/>
      <c r="L11" s="1"/>
      <c r="M11" s="6">
        <f t="shared" si="2"/>
        <v>4.1487151678952896E-3</v>
      </c>
      <c r="N11" s="6">
        <f t="shared" ref="N11:N15" si="27">1-(+M11-1)^12</f>
        <v>4.8664164605615734E-2</v>
      </c>
      <c r="O11" s="6">
        <f t="shared" ref="O11:O15" si="28">AVERAGE(N9:N11)</f>
        <v>3.8740400410488318E-2</v>
      </c>
      <c r="P11" s="6">
        <f t="shared" ref="P11:P15" si="29">AVERAGE(N6:N11)</f>
        <v>4.4344129151851507E-2</v>
      </c>
      <c r="R11" s="2">
        <v>0</v>
      </c>
      <c r="S11" s="26">
        <v>69805794</v>
      </c>
      <c r="T11" s="26">
        <v>844899</v>
      </c>
      <c r="U11" s="26">
        <v>331404</v>
      </c>
      <c r="V11" s="26">
        <v>28806</v>
      </c>
      <c r="W11" s="26">
        <v>0</v>
      </c>
      <c r="X11" s="26">
        <v>0</v>
      </c>
      <c r="Y11" s="26">
        <v>0</v>
      </c>
      <c r="Z11" s="26">
        <f t="shared" ref="Z11:Z14" si="30">+Z10+Y11</f>
        <v>23448.49</v>
      </c>
      <c r="AA11" s="4">
        <f t="shared" ref="AA11:AA14" si="31">+Z11/$D$4</f>
        <v>3.1264601021402909E-4</v>
      </c>
      <c r="AB11" s="2">
        <v>65223992.280000001</v>
      </c>
      <c r="AC11" s="4">
        <f t="shared" si="24"/>
        <v>0.95566289054945053</v>
      </c>
      <c r="AD11" s="25">
        <f t="shared" si="4"/>
        <v>53756037.593406595</v>
      </c>
      <c r="AE11" s="2">
        <f t="shared" ref="AE11:AE49" si="32">+AE10</f>
        <v>6000000</v>
      </c>
      <c r="AF11" s="8">
        <f t="shared" si="5"/>
        <v>1</v>
      </c>
      <c r="AG11" s="2">
        <f t="shared" si="6"/>
        <v>750000</v>
      </c>
      <c r="AH11" s="8">
        <f t="shared" ref="AH11:AH14" si="33">+AG11/$AG$4</f>
        <v>1</v>
      </c>
      <c r="AI11" s="8">
        <f t="shared" si="0"/>
        <v>0.91763410373931442</v>
      </c>
      <c r="AJ11" s="2">
        <v>656120.72</v>
      </c>
      <c r="AK11" s="4">
        <f t="shared" si="1"/>
        <v>9.1596836100389475E-2</v>
      </c>
      <c r="AL11" s="4">
        <f t="shared" si="9"/>
        <v>0.98209531452804244</v>
      </c>
      <c r="AM11" s="4">
        <f t="shared" si="10"/>
        <v>1.1886854967217027E-2</v>
      </c>
      <c r="AN11" s="4">
        <f t="shared" si="11"/>
        <v>4.6625114759936883E-3</v>
      </c>
      <c r="AO11" s="4">
        <f t="shared" si="12"/>
        <v>4.0527062309891914E-4</v>
      </c>
      <c r="AP11" s="4">
        <f t="shared" si="13"/>
        <v>0</v>
      </c>
      <c r="AQ11" s="4">
        <f t="shared" si="14"/>
        <v>0</v>
      </c>
      <c r="AR11" s="4">
        <f t="shared" si="15"/>
        <v>0</v>
      </c>
    </row>
    <row r="12" spans="1:44" x14ac:dyDescent="0.25">
      <c r="A12">
        <f t="shared" si="26"/>
        <v>8</v>
      </c>
      <c r="B12" s="3">
        <f t="shared" si="17"/>
        <v>42109</v>
      </c>
      <c r="C12">
        <v>2667</v>
      </c>
      <c r="D12" s="2">
        <v>70551772.409999996</v>
      </c>
      <c r="E12" s="8">
        <f t="shared" si="18"/>
        <v>0.94068872483962562</v>
      </c>
      <c r="F12" s="1">
        <v>296214.78999999998</v>
      </c>
      <c r="G12" s="1"/>
      <c r="H12" s="1"/>
      <c r="I12" s="1"/>
      <c r="J12" s="1"/>
      <c r="K12" s="1"/>
      <c r="L12" s="1"/>
      <c r="M12" s="6">
        <f t="shared" si="2"/>
        <v>4.1674356909815824E-3</v>
      </c>
      <c r="N12" s="6">
        <f t="shared" si="27"/>
        <v>4.8878746804771001E-2</v>
      </c>
      <c r="O12" s="6">
        <f t="shared" si="28"/>
        <v>4.8238656793649283E-2</v>
      </c>
      <c r="P12" s="6">
        <f t="shared" si="29"/>
        <v>4.626022639542695E-2</v>
      </c>
      <c r="R12" s="2">
        <v>0</v>
      </c>
      <c r="S12" s="26">
        <v>69655951</v>
      </c>
      <c r="T12" s="26">
        <v>542612</v>
      </c>
      <c r="U12" s="26">
        <v>198696</v>
      </c>
      <c r="V12" s="26">
        <v>48179</v>
      </c>
      <c r="W12" s="26">
        <v>44079</v>
      </c>
      <c r="X12" s="26">
        <v>28806</v>
      </c>
      <c r="Y12" s="26">
        <v>0</v>
      </c>
      <c r="Z12" s="26">
        <f t="shared" si="30"/>
        <v>23448.49</v>
      </c>
      <c r="AA12" s="4">
        <f t="shared" si="31"/>
        <v>3.1264601021402909E-4</v>
      </c>
      <c r="AB12" s="2">
        <v>64784401.398000002</v>
      </c>
      <c r="AC12" s="4">
        <f t="shared" si="24"/>
        <v>0.94922199850549449</v>
      </c>
      <c r="AD12" s="25">
        <f t="shared" si="4"/>
        <v>53393737.415934063</v>
      </c>
      <c r="AE12" s="2">
        <f t="shared" si="32"/>
        <v>6000000</v>
      </c>
      <c r="AF12" s="8">
        <f t="shared" si="5"/>
        <v>1</v>
      </c>
      <c r="AG12" s="2">
        <f t="shared" si="6"/>
        <v>750000</v>
      </c>
      <c r="AH12" s="8">
        <f t="shared" si="33"/>
        <v>1</v>
      </c>
      <c r="AI12" s="8">
        <f t="shared" si="0"/>
        <v>0.91825335048304857</v>
      </c>
      <c r="AJ12" s="2">
        <v>656120.72</v>
      </c>
      <c r="AK12" s="4">
        <f t="shared" si="1"/>
        <v>9.1046496956460998E-2</v>
      </c>
      <c r="AL12" s="4">
        <f t="shared" si="9"/>
        <v>0.98730263777366101</v>
      </c>
      <c r="AM12" s="4">
        <f t="shared" si="10"/>
        <v>7.6909761649459323E-3</v>
      </c>
      <c r="AN12" s="4">
        <f t="shared" si="11"/>
        <v>2.8163147885968188E-3</v>
      </c>
      <c r="AO12" s="4">
        <f t="shared" si="12"/>
        <v>6.8288858457042981E-4</v>
      </c>
      <c r="AP12" s="4">
        <f t="shared" si="13"/>
        <v>6.2477523234770287E-4</v>
      </c>
      <c r="AQ12" s="4">
        <f t="shared" si="14"/>
        <v>4.0829590832387145E-4</v>
      </c>
      <c r="AR12" s="4">
        <f t="shared" si="15"/>
        <v>0</v>
      </c>
    </row>
    <row r="13" spans="1:44" x14ac:dyDescent="0.25">
      <c r="A13">
        <f t="shared" si="26"/>
        <v>9</v>
      </c>
      <c r="B13" s="3">
        <f t="shared" si="17"/>
        <v>42139</v>
      </c>
      <c r="C13">
        <v>2652</v>
      </c>
      <c r="D13" s="2">
        <v>69971156.079999998</v>
      </c>
      <c r="E13" s="8">
        <f t="shared" si="18"/>
        <v>0.93294718672610055</v>
      </c>
      <c r="F13" s="1">
        <v>385526.84</v>
      </c>
      <c r="G13" s="1"/>
      <c r="H13" s="1"/>
      <c r="I13" s="1"/>
      <c r="J13" s="1"/>
      <c r="K13" s="1"/>
      <c r="L13" s="1"/>
      <c r="M13" s="6">
        <f t="shared" si="2"/>
        <v>5.4644529376182693E-3</v>
      </c>
      <c r="N13" s="6">
        <f t="shared" si="27"/>
        <v>6.363811887678883E-2</v>
      </c>
      <c r="O13" s="6">
        <f t="shared" si="28"/>
        <v>5.372701009572519E-2</v>
      </c>
      <c r="P13" s="6">
        <f t="shared" si="29"/>
        <v>4.7610105943626468E-2</v>
      </c>
      <c r="R13" s="2">
        <v>0</v>
      </c>
      <c r="S13" s="26">
        <v>68759373</v>
      </c>
      <c r="T13" s="26">
        <v>956603</v>
      </c>
      <c r="U13" s="26">
        <v>31007</v>
      </c>
      <c r="V13" s="26">
        <v>69660</v>
      </c>
      <c r="W13" s="26">
        <v>58179</v>
      </c>
      <c r="X13" s="26">
        <v>44079</v>
      </c>
      <c r="Y13" s="26">
        <v>28805.9</v>
      </c>
      <c r="Z13" s="26">
        <f t="shared" si="30"/>
        <v>52254.39</v>
      </c>
      <c r="AA13" s="4">
        <f t="shared" si="31"/>
        <v>6.96724034241346E-4</v>
      </c>
      <c r="AB13" s="2">
        <v>64372646.479999997</v>
      </c>
      <c r="AC13" s="4">
        <f t="shared" si="24"/>
        <v>0.94318895941391934</v>
      </c>
      <c r="AD13" s="25">
        <f t="shared" si="4"/>
        <v>53054378.967032962</v>
      </c>
      <c r="AE13" s="2">
        <f t="shared" si="32"/>
        <v>6000000</v>
      </c>
      <c r="AF13" s="8">
        <f t="shared" si="5"/>
        <v>1</v>
      </c>
      <c r="AG13" s="2">
        <f t="shared" si="6"/>
        <v>750000</v>
      </c>
      <c r="AH13" s="8">
        <f t="shared" si="33"/>
        <v>1</v>
      </c>
      <c r="AI13" s="8">
        <f t="shared" si="0"/>
        <v>0.91998832213663773</v>
      </c>
      <c r="AJ13" s="2">
        <v>652239.92000000004</v>
      </c>
      <c r="AK13" s="4">
        <f t="shared" si="1"/>
        <v>8.9333232008534269E-2</v>
      </c>
      <c r="AL13" s="4">
        <f t="shared" si="9"/>
        <v>0.98268167702396492</v>
      </c>
      <c r="AM13" s="4">
        <f t="shared" si="10"/>
        <v>1.3671390521349809E-2</v>
      </c>
      <c r="AN13" s="4">
        <f t="shared" si="11"/>
        <v>4.4313974124636187E-4</v>
      </c>
      <c r="AO13" s="4">
        <f t="shared" si="12"/>
        <v>9.9555308076310404E-4</v>
      </c>
      <c r="AP13" s="4">
        <f t="shared" si="13"/>
        <v>8.3147118411881467E-4</v>
      </c>
      <c r="AQ13" s="4">
        <f t="shared" si="14"/>
        <v>6.2995957862412954E-4</v>
      </c>
      <c r="AR13" s="4">
        <f t="shared" si="15"/>
        <v>4.1168249338435114E-4</v>
      </c>
    </row>
    <row r="14" spans="1:44" x14ac:dyDescent="0.25">
      <c r="A14">
        <f t="shared" si="26"/>
        <v>10</v>
      </c>
      <c r="B14" s="3">
        <f t="shared" si="17"/>
        <v>42170</v>
      </c>
      <c r="C14">
        <v>2647</v>
      </c>
      <c r="D14" s="2">
        <v>69656803.409999996</v>
      </c>
      <c r="E14" s="8">
        <f t="shared" si="18"/>
        <v>0.92875582480575392</v>
      </c>
      <c r="F14" s="1">
        <v>96783.4</v>
      </c>
      <c r="G14" s="1"/>
      <c r="H14" s="1"/>
      <c r="I14" s="1"/>
      <c r="J14" s="1"/>
      <c r="K14" s="1"/>
      <c r="L14" s="1"/>
      <c r="M14" s="6">
        <f t="shared" si="2"/>
        <v>1.3831899517187454E-3</v>
      </c>
      <c r="N14" s="6">
        <f t="shared" si="27"/>
        <v>1.6472587654106197E-2</v>
      </c>
      <c r="O14" s="6">
        <f t="shared" si="28"/>
        <v>4.2996484445222007E-2</v>
      </c>
      <c r="P14" s="6">
        <f t="shared" si="29"/>
        <v>4.0868442427855166E-2</v>
      </c>
      <c r="R14" s="2">
        <v>0</v>
      </c>
      <c r="S14" s="26">
        <v>68752007</v>
      </c>
      <c r="T14" s="26">
        <v>573796</v>
      </c>
      <c r="U14" s="26">
        <v>106827</v>
      </c>
      <c r="V14" s="26">
        <v>0</v>
      </c>
      <c r="W14" s="26">
        <v>69660</v>
      </c>
      <c r="X14" s="26">
        <v>58179</v>
      </c>
      <c r="Y14" s="26">
        <v>44079.46</v>
      </c>
      <c r="Z14" s="26">
        <f t="shared" si="30"/>
        <v>96333.85</v>
      </c>
      <c r="AA14" s="4">
        <f t="shared" si="31"/>
        <v>1.2844491841929584E-3</v>
      </c>
      <c r="AB14" s="2">
        <v>64160437.469999999</v>
      </c>
      <c r="AC14" s="4">
        <f t="shared" si="24"/>
        <v>0.94007966989010983</v>
      </c>
      <c r="AD14" s="25">
        <f t="shared" si="4"/>
        <v>52879481.431318678</v>
      </c>
      <c r="AE14" s="2">
        <f t="shared" si="32"/>
        <v>6000000</v>
      </c>
      <c r="AF14" s="8">
        <f t="shared" si="5"/>
        <v>1</v>
      </c>
      <c r="AG14" s="2">
        <f t="shared" si="6"/>
        <v>750000</v>
      </c>
      <c r="AH14" s="8">
        <f t="shared" si="33"/>
        <v>1</v>
      </c>
      <c r="AI14" s="8">
        <f t="shared" si="0"/>
        <v>0.92109362372475834</v>
      </c>
      <c r="AJ14" s="2">
        <v>647844.02</v>
      </c>
      <c r="AK14" s="4">
        <f t="shared" si="1"/>
        <v>8.8206889481206432E-2</v>
      </c>
      <c r="AL14" s="4">
        <f t="shared" si="9"/>
        <v>0.9870106527186675</v>
      </c>
      <c r="AM14" s="4">
        <f t="shared" si="10"/>
        <v>8.2374724637109212E-3</v>
      </c>
      <c r="AN14" s="4">
        <f t="shared" si="11"/>
        <v>1.5336190403572815E-3</v>
      </c>
      <c r="AO14" s="4">
        <f t="shared" si="12"/>
        <v>0</v>
      </c>
      <c r="AP14" s="4">
        <f t="shared" si="13"/>
        <v>1.000045890564073E-3</v>
      </c>
      <c r="AQ14" s="4">
        <f t="shared" si="14"/>
        <v>8.3522351230443874E-4</v>
      </c>
      <c r="AR14" s="4">
        <f t="shared" si="15"/>
        <v>6.3280911328285143E-4</v>
      </c>
    </row>
    <row r="15" spans="1:44" x14ac:dyDescent="0.25">
      <c r="A15">
        <f t="shared" si="26"/>
        <v>11</v>
      </c>
      <c r="B15" s="3">
        <f t="shared" si="17"/>
        <v>42200</v>
      </c>
      <c r="C15">
        <v>2638</v>
      </c>
      <c r="D15" s="2">
        <v>69195915.010000005</v>
      </c>
      <c r="E15" s="8">
        <f t="shared" si="18"/>
        <v>0.92261065642118312</v>
      </c>
      <c r="F15" s="1">
        <v>214513.49</v>
      </c>
      <c r="G15" s="1"/>
      <c r="H15" s="1"/>
      <c r="I15" s="1"/>
      <c r="J15" s="1"/>
      <c r="K15" s="1"/>
      <c r="L15" s="1"/>
      <c r="M15" s="6">
        <f t="shared" si="2"/>
        <v>3.0795770046663415E-3</v>
      </c>
      <c r="N15" s="6">
        <f t="shared" si="27"/>
        <v>3.6335374650907304E-2</v>
      </c>
      <c r="O15" s="6">
        <f t="shared" si="28"/>
        <v>3.8815360393934108E-2</v>
      </c>
      <c r="P15" s="6">
        <f t="shared" si="29"/>
        <v>4.3527008593791695E-2</v>
      </c>
      <c r="Q15" s="27"/>
      <c r="R15" s="2">
        <v>0</v>
      </c>
      <c r="S15" s="26">
        <v>68389582</v>
      </c>
      <c r="T15" s="26">
        <v>476214</v>
      </c>
      <c r="U15" s="26">
        <v>94819</v>
      </c>
      <c r="V15" s="26">
        <v>38682</v>
      </c>
      <c r="W15" s="26">
        <v>32644</v>
      </c>
      <c r="X15" s="26">
        <v>37016</v>
      </c>
      <c r="Y15" s="26">
        <v>30624.49</v>
      </c>
      <c r="Z15" s="26">
        <f t="shared" ref="Z15:Z22" si="34">+Z14+Y15</f>
        <v>126958.34000000001</v>
      </c>
      <c r="AA15" s="4">
        <f t="shared" ref="AA15:AA22" si="35">+Z15/$D$4</f>
        <v>1.6927750343154796E-3</v>
      </c>
      <c r="AB15" s="2">
        <v>63724744.630000003</v>
      </c>
      <c r="AC15" s="4">
        <f t="shared" ref="AC15:AC25" si="36">+AB15/AB$4</f>
        <v>0.93369589201465208</v>
      </c>
      <c r="AD15" s="25">
        <f t="shared" si="4"/>
        <v>52520393.925824173</v>
      </c>
      <c r="AE15" s="2">
        <f t="shared" si="32"/>
        <v>6000000</v>
      </c>
      <c r="AF15" s="8">
        <f t="shared" si="5"/>
        <v>1</v>
      </c>
      <c r="AG15" s="2">
        <f t="shared" si="6"/>
        <v>750000</v>
      </c>
      <c r="AH15" s="8">
        <f t="shared" ref="AH15:AH22" si="37">+AG15/$AG$4</f>
        <v>1</v>
      </c>
      <c r="AI15" s="8">
        <f t="shared" si="0"/>
        <v>0.92093217671578842</v>
      </c>
      <c r="AJ15" s="2">
        <f t="shared" ref="AJ15:AJ57" si="38">+AB15*0.01</f>
        <v>637247.44630000007</v>
      </c>
      <c r="AK15" s="4">
        <f t="shared" si="1"/>
        <v>8.8277145051369438E-2</v>
      </c>
      <c r="AL15" s="4">
        <f t="shared" si="9"/>
        <v>0.98834710098300638</v>
      </c>
      <c r="AM15" s="4">
        <f t="shared" si="10"/>
        <v>6.8821114646894811E-3</v>
      </c>
      <c r="AN15" s="4">
        <f t="shared" si="11"/>
        <v>1.3702976539337187E-3</v>
      </c>
      <c r="AO15" s="4">
        <f t="shared" si="12"/>
        <v>5.5902143926284933E-4</v>
      </c>
      <c r="AP15" s="4">
        <f t="shared" si="13"/>
        <v>4.7176195293150439E-4</v>
      </c>
      <c r="AQ15" s="4">
        <f t="shared" si="14"/>
        <v>5.349448734748366E-4</v>
      </c>
      <c r="AR15" s="4">
        <f t="shared" si="15"/>
        <v>4.4257655954942185E-4</v>
      </c>
    </row>
    <row r="16" spans="1:44" x14ac:dyDescent="0.25">
      <c r="A16">
        <f t="shared" si="26"/>
        <v>12</v>
      </c>
      <c r="B16" s="3">
        <f t="shared" si="17"/>
        <v>42231</v>
      </c>
      <c r="C16">
        <v>2625</v>
      </c>
      <c r="D16" s="2">
        <v>68733752.900000006</v>
      </c>
      <c r="E16" s="8">
        <f t="shared" si="18"/>
        <v>0.91644850526502786</v>
      </c>
      <c r="F16" s="1">
        <v>233400.24</v>
      </c>
      <c r="G16" s="1"/>
      <c r="H16" s="1"/>
      <c r="I16" s="1"/>
      <c r="J16" s="1"/>
      <c r="K16" s="1"/>
      <c r="L16" s="1"/>
      <c r="M16" s="6">
        <f t="shared" si="2"/>
        <v>3.3730349539603547E-3</v>
      </c>
      <c r="N16" s="6">
        <f t="shared" ref="N16" si="39">1-(+M16-1)^12</f>
        <v>3.9733892414950733E-2</v>
      </c>
      <c r="O16" s="6">
        <f t="shared" ref="O16" si="40">AVERAGE(N14:N16)</f>
        <v>3.0847284906654743E-2</v>
      </c>
      <c r="P16" s="6">
        <f t="shared" ref="P16" si="41">AVERAGE(N11:N16)</f>
        <v>4.2287147501189969E-2</v>
      </c>
      <c r="Q16" s="27">
        <f t="shared" ref="Q16:Q22" si="42">AVERAGE(N5:N16)</f>
        <v>4.6361638153214708E-2</v>
      </c>
      <c r="R16" s="2">
        <v>0</v>
      </c>
      <c r="S16" s="26">
        <v>68131288</v>
      </c>
      <c r="T16" s="26">
        <v>307360</v>
      </c>
      <c r="U16" s="26">
        <v>94803</v>
      </c>
      <c r="V16" s="26">
        <v>32489</v>
      </c>
      <c r="W16" s="26">
        <v>0</v>
      </c>
      <c r="X16" s="26">
        <v>32644</v>
      </c>
      <c r="Y16" s="26">
        <v>37016.160000000003</v>
      </c>
      <c r="Z16" s="26">
        <f t="shared" si="34"/>
        <v>163974.5</v>
      </c>
      <c r="AA16" s="4">
        <f t="shared" si="35"/>
        <v>2.1863230085110092E-3</v>
      </c>
      <c r="AB16" s="2">
        <v>63359894.710000001</v>
      </c>
      <c r="AC16" s="4">
        <f t="shared" si="36"/>
        <v>0.9283501056410256</v>
      </c>
      <c r="AD16" s="25">
        <f t="shared" si="4"/>
        <v>52219693.442307688</v>
      </c>
      <c r="AE16" s="2">
        <f t="shared" si="32"/>
        <v>6000000</v>
      </c>
      <c r="AF16" s="8">
        <f t="shared" si="5"/>
        <v>1</v>
      </c>
      <c r="AG16" s="2">
        <f t="shared" si="6"/>
        <v>750000</v>
      </c>
      <c r="AH16" s="8">
        <f t="shared" si="37"/>
        <v>1</v>
      </c>
      <c r="AI16" s="8">
        <f t="shared" si="0"/>
        <v>0.92181631348111648</v>
      </c>
      <c r="AJ16" s="2">
        <f t="shared" si="38"/>
        <v>633598.94709999999</v>
      </c>
      <c r="AK16" s="4">
        <f t="shared" si="1"/>
        <v>8.7401849653694713E-2</v>
      </c>
      <c r="AL16" s="4">
        <f t="shared" si="9"/>
        <v>0.99123480277766118</v>
      </c>
      <c r="AM16" s="4">
        <f t="shared" si="10"/>
        <v>4.4717476790067717E-3</v>
      </c>
      <c r="AN16" s="4">
        <f t="shared" si="11"/>
        <v>1.3792786804167068E-3</v>
      </c>
      <c r="AO16" s="4">
        <f t="shared" si="12"/>
        <v>4.7267897691062924E-4</v>
      </c>
      <c r="AP16" s="4">
        <f t="shared" si="13"/>
        <v>0</v>
      </c>
      <c r="AQ16" s="4">
        <f t="shared" si="14"/>
        <v>4.7493405528857709E-4</v>
      </c>
      <c r="AR16" s="4">
        <f t="shared" si="15"/>
        <v>5.385441422623091E-4</v>
      </c>
    </row>
    <row r="17" spans="1:44" x14ac:dyDescent="0.25">
      <c r="A17">
        <f t="shared" si="26"/>
        <v>13</v>
      </c>
      <c r="B17" s="3">
        <f t="shared" si="17"/>
        <v>42262</v>
      </c>
      <c r="C17">
        <v>2613</v>
      </c>
      <c r="D17" s="2">
        <v>68245780.599999994</v>
      </c>
      <c r="E17" s="8">
        <f t="shared" si="18"/>
        <v>0.90994221881801274</v>
      </c>
      <c r="F17" s="1">
        <v>293605.21999999997</v>
      </c>
      <c r="G17" s="1"/>
      <c r="H17" s="1"/>
      <c r="I17" s="1"/>
      <c r="J17" s="1"/>
      <c r="K17" s="1"/>
      <c r="L17" s="1"/>
      <c r="M17" s="6">
        <f t="shared" si="2"/>
        <v>4.2716308598362588E-3</v>
      </c>
      <c r="N17" s="6">
        <f t="shared" ref="N17" si="43">1-(+M17-1)^12</f>
        <v>5.0072263455851918E-2</v>
      </c>
      <c r="O17" s="6">
        <f t="shared" ref="O17" si="44">AVERAGE(N15:N17)</f>
        <v>4.2047176840569987E-2</v>
      </c>
      <c r="P17" s="6">
        <f t="shared" ref="P17" si="45">AVERAGE(N12:N17)</f>
        <v>4.2521830642895997E-2</v>
      </c>
      <c r="Q17" s="27">
        <f t="shared" si="42"/>
        <v>4.3432979897373748E-2</v>
      </c>
      <c r="R17" s="2">
        <v>0</v>
      </c>
      <c r="S17" s="26">
        <v>67420559</v>
      </c>
      <c r="T17" s="26">
        <v>624920</v>
      </c>
      <c r="U17" s="26">
        <v>0</v>
      </c>
      <c r="V17" s="26">
        <v>0</v>
      </c>
      <c r="W17" s="26">
        <v>0</v>
      </c>
      <c r="X17" s="26">
        <v>32489</v>
      </c>
      <c r="Y17" s="26">
        <v>32643.759999999998</v>
      </c>
      <c r="Z17" s="26">
        <f t="shared" si="34"/>
        <v>196618.26</v>
      </c>
      <c r="AA17" s="4">
        <f t="shared" si="35"/>
        <v>2.6215724135850377E-3</v>
      </c>
      <c r="AB17" s="2">
        <v>62388198.340000004</v>
      </c>
      <c r="AC17" s="4">
        <f t="shared" si="36"/>
        <v>0.91411279619047625</v>
      </c>
      <c r="AD17" s="25">
        <f t="shared" si="4"/>
        <v>51418844.785714284</v>
      </c>
      <c r="AE17" s="2">
        <f t="shared" si="32"/>
        <v>6000000</v>
      </c>
      <c r="AF17" s="8">
        <f t="shared" si="5"/>
        <v>1</v>
      </c>
      <c r="AG17" s="2">
        <f t="shared" si="6"/>
        <v>750000</v>
      </c>
      <c r="AH17" s="8">
        <f t="shared" si="37"/>
        <v>1</v>
      </c>
      <c r="AI17" s="8">
        <f t="shared" si="0"/>
        <v>0.91416931261535028</v>
      </c>
      <c r="AJ17" s="2">
        <f t="shared" si="38"/>
        <v>623881.98340000003</v>
      </c>
      <c r="AK17" s="4">
        <f t="shared" si="1"/>
        <v>9.4972380510803228E-2</v>
      </c>
      <c r="AL17" s="4">
        <f t="shared" si="9"/>
        <v>0.9879080934712029</v>
      </c>
      <c r="AM17" s="4">
        <f t="shared" si="10"/>
        <v>9.1569031009076044E-3</v>
      </c>
      <c r="AN17" s="4">
        <f t="shared" si="11"/>
        <v>0</v>
      </c>
      <c r="AO17" s="4">
        <f t="shared" si="12"/>
        <v>0</v>
      </c>
      <c r="AP17" s="4">
        <f t="shared" si="13"/>
        <v>0</v>
      </c>
      <c r="AQ17" s="4">
        <f t="shared" si="14"/>
        <v>4.7605873527073412E-4</v>
      </c>
      <c r="AR17" s="4">
        <f t="shared" si="15"/>
        <v>4.7832642125277415E-4</v>
      </c>
    </row>
    <row r="18" spans="1:44" x14ac:dyDescent="0.25">
      <c r="A18">
        <f t="shared" si="26"/>
        <v>14</v>
      </c>
      <c r="B18" s="3">
        <f t="shared" si="17"/>
        <v>42292</v>
      </c>
      <c r="C18">
        <v>2599</v>
      </c>
      <c r="D18" s="2">
        <v>67673060.019999996</v>
      </c>
      <c r="E18" s="8">
        <f t="shared" si="18"/>
        <v>0.90230595719500573</v>
      </c>
      <c r="F18" s="1">
        <v>379004.3</v>
      </c>
      <c r="G18" s="1"/>
      <c r="H18" s="1"/>
      <c r="I18" s="1"/>
      <c r="J18" s="1"/>
      <c r="K18" s="1"/>
      <c r="L18" s="1"/>
      <c r="M18" s="6">
        <f t="shared" si="2"/>
        <v>5.5535198904296803E-3</v>
      </c>
      <c r="N18" s="6">
        <f t="shared" ref="N18" si="46">1-(+M18-1)^12</f>
        <v>6.4643908962916941E-2</v>
      </c>
      <c r="O18" s="6">
        <f t="shared" ref="O18" si="47">AVERAGE(N16:N18)</f>
        <v>5.1483354944573199E-2</v>
      </c>
      <c r="P18" s="6">
        <f t="shared" ref="P18" si="48">AVERAGE(N13:N18)</f>
        <v>4.5149357669253654E-2</v>
      </c>
      <c r="Q18" s="27">
        <f t="shared" si="42"/>
        <v>4.5704792032340298E-2</v>
      </c>
      <c r="R18" s="2">
        <v>0</v>
      </c>
      <c r="S18" s="26">
        <v>66566408</v>
      </c>
      <c r="T18" s="26">
        <v>739987</v>
      </c>
      <c r="U18" s="26">
        <v>166364</v>
      </c>
      <c r="V18" s="26">
        <v>0</v>
      </c>
      <c r="W18" s="26">
        <v>0</v>
      </c>
      <c r="X18" s="26">
        <v>32489</v>
      </c>
      <c r="Y18" s="26">
        <v>0</v>
      </c>
      <c r="Z18" s="26">
        <f t="shared" si="34"/>
        <v>196618.26</v>
      </c>
      <c r="AA18" s="4">
        <f t="shared" si="35"/>
        <v>2.6215724135850377E-3</v>
      </c>
      <c r="AB18" s="2">
        <v>61907710.810000002</v>
      </c>
      <c r="AC18" s="4">
        <f t="shared" si="36"/>
        <v>0.90707268586080592</v>
      </c>
      <c r="AD18" s="25">
        <f t="shared" si="4"/>
        <v>51022838.579670332</v>
      </c>
      <c r="AE18" s="2">
        <f t="shared" si="32"/>
        <v>6000000</v>
      </c>
      <c r="AF18" s="8">
        <f t="shared" si="5"/>
        <v>1</v>
      </c>
      <c r="AG18" s="2">
        <f t="shared" si="6"/>
        <v>750000</v>
      </c>
      <c r="AH18" s="8">
        <f t="shared" si="37"/>
        <v>1</v>
      </c>
      <c r="AI18" s="8">
        <f t="shared" si="0"/>
        <v>0.91480584433013501</v>
      </c>
      <c r="AJ18" s="2">
        <f t="shared" si="38"/>
        <v>619077.10810000007</v>
      </c>
      <c r="AK18" s="4">
        <f t="shared" si="1"/>
        <v>9.4342214113166248E-2</v>
      </c>
      <c r="AL18" s="4">
        <f t="shared" si="9"/>
        <v>0.98364708172390991</v>
      </c>
      <c r="AM18" s="4">
        <f t="shared" si="10"/>
        <v>1.0934735325716103E-2</v>
      </c>
      <c r="AN18" s="4">
        <f t="shared" si="11"/>
        <v>2.4583490084655996E-3</v>
      </c>
      <c r="AO18" s="4">
        <f t="shared" si="12"/>
        <v>0</v>
      </c>
      <c r="AP18" s="4">
        <f t="shared" si="13"/>
        <v>0</v>
      </c>
      <c r="AQ18" s="4">
        <f t="shared" si="14"/>
        <v>4.8008764477915213E-4</v>
      </c>
      <c r="AR18" s="4">
        <f t="shared" si="15"/>
        <v>0</v>
      </c>
    </row>
    <row r="19" spans="1:44" x14ac:dyDescent="0.25">
      <c r="A19">
        <f t="shared" si="26"/>
        <v>15</v>
      </c>
      <c r="B19" s="3">
        <f t="shared" si="17"/>
        <v>42323</v>
      </c>
      <c r="C19">
        <v>2586</v>
      </c>
      <c r="D19" s="2">
        <v>67182560.5</v>
      </c>
      <c r="E19" s="8">
        <f t="shared" si="18"/>
        <v>0.89576597453770479</v>
      </c>
      <c r="F19" s="1">
        <v>280642.12</v>
      </c>
      <c r="G19" s="1"/>
      <c r="H19" s="1"/>
      <c r="I19" s="1"/>
      <c r="J19" s="1"/>
      <c r="K19" s="1"/>
      <c r="L19" s="1"/>
      <c r="M19" s="6">
        <f t="shared" si="2"/>
        <v>4.1470286686764194E-3</v>
      </c>
      <c r="N19" s="6">
        <f t="shared" ref="N19" si="49">1-(+M19-1)^12</f>
        <v>4.8644831091321006E-2</v>
      </c>
      <c r="O19" s="6">
        <f t="shared" ref="O19" si="50">AVERAGE(N17:N19)</f>
        <v>5.4453667836696619E-2</v>
      </c>
      <c r="P19" s="6">
        <f t="shared" ref="P19" si="51">AVERAGE(N14:N19)</f>
        <v>4.2650476371675683E-2</v>
      </c>
      <c r="Q19" s="27">
        <f t="shared" si="42"/>
        <v>4.5130291157651076E-2</v>
      </c>
      <c r="R19" s="2">
        <v>0</v>
      </c>
      <c r="S19" s="26">
        <v>66022544</v>
      </c>
      <c r="T19" s="26">
        <v>749361</v>
      </c>
      <c r="U19" s="26">
        <v>196743</v>
      </c>
      <c r="V19" s="26">
        <v>46101</v>
      </c>
      <c r="W19" s="26">
        <v>0</v>
      </c>
      <c r="X19" s="26">
        <v>0</v>
      </c>
      <c r="Y19" s="26">
        <v>0</v>
      </c>
      <c r="Z19" s="26">
        <f t="shared" si="34"/>
        <v>196618.26</v>
      </c>
      <c r="AA19" s="4">
        <f t="shared" si="35"/>
        <v>2.6215724135850377E-3</v>
      </c>
      <c r="AB19" s="2">
        <v>61508411.359999999</v>
      </c>
      <c r="AC19" s="4">
        <f t="shared" si="36"/>
        <v>0.90122214446886451</v>
      </c>
      <c r="AD19" s="25">
        <f t="shared" si="4"/>
        <v>50693745.626373626</v>
      </c>
      <c r="AE19" s="2">
        <f t="shared" si="32"/>
        <v>6000000</v>
      </c>
      <c r="AF19" s="8">
        <f t="shared" si="5"/>
        <v>1</v>
      </c>
      <c r="AG19" s="2">
        <f t="shared" si="6"/>
        <v>750000</v>
      </c>
      <c r="AH19" s="8">
        <f t="shared" si="37"/>
        <v>1</v>
      </c>
      <c r="AI19" s="8">
        <f t="shared" si="0"/>
        <v>0.91554133844005547</v>
      </c>
      <c r="AJ19" s="2">
        <f t="shared" si="38"/>
        <v>615084.11360000004</v>
      </c>
      <c r="AK19" s="4">
        <f t="shared" si="1"/>
        <v>9.3614074944345135E-2</v>
      </c>
      <c r="AL19" s="4">
        <f t="shared" si="9"/>
        <v>0.9827333687289278</v>
      </c>
      <c r="AM19" s="4">
        <f t="shared" si="10"/>
        <v>1.1154100028682295E-2</v>
      </c>
      <c r="AN19" s="4">
        <f t="shared" si="11"/>
        <v>2.9284832036135331E-3</v>
      </c>
      <c r="AO19" s="4">
        <f t="shared" si="12"/>
        <v>6.8620486710982084E-4</v>
      </c>
      <c r="AP19" s="4">
        <f t="shared" si="13"/>
        <v>0</v>
      </c>
      <c r="AQ19" s="4">
        <f t="shared" si="14"/>
        <v>0</v>
      </c>
      <c r="AR19" s="4">
        <f t="shared" si="15"/>
        <v>0</v>
      </c>
    </row>
    <row r="20" spans="1:44" x14ac:dyDescent="0.25">
      <c r="A20">
        <f t="shared" si="26"/>
        <v>16</v>
      </c>
      <c r="B20" s="3">
        <f t="shared" si="17"/>
        <v>42353</v>
      </c>
      <c r="C20">
        <v>2572</v>
      </c>
      <c r="D20" s="2">
        <v>66637569.75</v>
      </c>
      <c r="E20" s="8">
        <f t="shared" si="18"/>
        <v>0.88849944336273146</v>
      </c>
      <c r="F20" s="1">
        <v>361785.23</v>
      </c>
      <c r="G20" s="1"/>
      <c r="H20" s="1"/>
      <c r="I20" s="1"/>
      <c r="J20" s="1"/>
      <c r="K20" s="1"/>
      <c r="L20" s="1"/>
      <c r="M20" s="6">
        <f t="shared" si="2"/>
        <v>5.3851063029965937E-3</v>
      </c>
      <c r="N20" s="6">
        <f t="shared" ref="N20" si="52">1-(+M20-1)^12</f>
        <v>6.274126074200248E-2</v>
      </c>
      <c r="O20" s="6">
        <f t="shared" ref="O20" si="53">AVERAGE(N18:N20)</f>
        <v>5.8676666932080145E-2</v>
      </c>
      <c r="P20" s="6">
        <f t="shared" ref="P20" si="54">AVERAGE(N15:N20)</f>
        <v>5.0361921886325066E-2</v>
      </c>
      <c r="Q20" s="27">
        <f t="shared" si="42"/>
        <v>4.5615182157090116E-2</v>
      </c>
      <c r="R20" s="2">
        <v>0</v>
      </c>
      <c r="S20" s="26">
        <v>65399638</v>
      </c>
      <c r="T20" s="26">
        <v>769212</v>
      </c>
      <c r="U20" s="26">
        <v>220491</v>
      </c>
      <c r="V20" s="26">
        <v>80417</v>
      </c>
      <c r="W20" s="26">
        <v>0</v>
      </c>
      <c r="X20" s="26">
        <v>0</v>
      </c>
      <c r="Y20" s="26">
        <v>0</v>
      </c>
      <c r="Z20" s="26">
        <f t="shared" si="34"/>
        <v>196618.26</v>
      </c>
      <c r="AA20" s="4">
        <f t="shared" si="35"/>
        <v>2.6215724135850377E-3</v>
      </c>
      <c r="AB20" s="2">
        <v>61052567.770000003</v>
      </c>
      <c r="AC20" s="4">
        <f t="shared" si="36"/>
        <v>0.8945431175091576</v>
      </c>
      <c r="AD20" s="25">
        <f t="shared" si="4"/>
        <v>50318050.359890111</v>
      </c>
      <c r="AE20" s="2">
        <f t="shared" si="32"/>
        <v>6000000</v>
      </c>
      <c r="AF20" s="8">
        <f t="shared" si="5"/>
        <v>1</v>
      </c>
      <c r="AG20" s="2">
        <f t="shared" si="6"/>
        <v>750000</v>
      </c>
      <c r="AH20" s="8">
        <f t="shared" si="37"/>
        <v>1</v>
      </c>
      <c r="AI20" s="8">
        <f t="shared" si="0"/>
        <v>0.91618839040870037</v>
      </c>
      <c r="AJ20" s="2">
        <f t="shared" si="38"/>
        <v>610525.6777</v>
      </c>
      <c r="AK20" s="4">
        <f t="shared" si="1"/>
        <v>9.2973493495386583E-2</v>
      </c>
      <c r="AL20" s="4">
        <f t="shared" si="9"/>
        <v>0.98142291571189844</v>
      </c>
      <c r="AM20" s="4">
        <f t="shared" si="10"/>
        <v>1.1543218080818441E-2</v>
      </c>
      <c r="AN20" s="4">
        <f t="shared" si="11"/>
        <v>3.3088091421581292E-3</v>
      </c>
      <c r="AO20" s="4">
        <f t="shared" si="12"/>
        <v>1.2067817044003168E-3</v>
      </c>
      <c r="AP20" s="4">
        <f t="shared" si="13"/>
        <v>0</v>
      </c>
      <c r="AQ20" s="4">
        <f t="shared" si="14"/>
        <v>0</v>
      </c>
      <c r="AR20" s="4">
        <f t="shared" si="15"/>
        <v>0</v>
      </c>
    </row>
    <row r="21" spans="1:44" x14ac:dyDescent="0.25">
      <c r="A21">
        <f t="shared" si="26"/>
        <v>17</v>
      </c>
      <c r="B21" s="3">
        <f t="shared" si="17"/>
        <v>42384</v>
      </c>
      <c r="C21">
        <v>2562</v>
      </c>
      <c r="D21" s="2">
        <v>66143114.079999998</v>
      </c>
      <c r="E21" s="8">
        <f t="shared" si="18"/>
        <v>0.88190671212702265</v>
      </c>
      <c r="F21" s="1">
        <v>213811.37</v>
      </c>
      <c r="G21" s="1"/>
      <c r="H21" s="1"/>
      <c r="I21" s="1"/>
      <c r="J21" s="1"/>
      <c r="K21" s="1"/>
      <c r="L21" s="1"/>
      <c r="M21" s="6">
        <f t="shared" si="2"/>
        <v>3.2085709428201349E-3</v>
      </c>
      <c r="N21" s="6">
        <f t="shared" ref="N21" si="55">1-(+M21-1)^12</f>
        <v>3.7830600945797488E-2</v>
      </c>
      <c r="O21" s="6">
        <f t="shared" ref="O21" si="56">AVERAGE(N19:N21)</f>
        <v>4.9738897593040322E-2</v>
      </c>
      <c r="P21" s="6">
        <f t="shared" ref="P21" si="57">AVERAGE(N16:N21)</f>
        <v>5.0611126268806761E-2</v>
      </c>
      <c r="Q21" s="27">
        <f t="shared" si="42"/>
        <v>4.7069067431299232E-2</v>
      </c>
      <c r="R21" s="2">
        <v>521012.08</v>
      </c>
      <c r="S21" s="26">
        <v>65115804</v>
      </c>
      <c r="T21" s="26">
        <v>682805</v>
      </c>
      <c r="U21" s="26">
        <v>96276</v>
      </c>
      <c r="V21" s="26">
        <v>57285</v>
      </c>
      <c r="W21" s="26">
        <v>23131</v>
      </c>
      <c r="X21" s="26">
        <v>0</v>
      </c>
      <c r="Y21" s="26">
        <v>0</v>
      </c>
      <c r="Z21" s="26">
        <f t="shared" si="34"/>
        <v>196618.26</v>
      </c>
      <c r="AA21" s="4">
        <f t="shared" si="35"/>
        <v>2.6215724135850377E-3</v>
      </c>
      <c r="AB21" s="2">
        <v>60190119.619999997</v>
      </c>
      <c r="AC21" s="4">
        <f t="shared" si="36"/>
        <v>0.88190651457875457</v>
      </c>
      <c r="AD21" s="25">
        <f t="shared" si="4"/>
        <v>49607241.445054941</v>
      </c>
      <c r="AE21" s="2">
        <f t="shared" si="32"/>
        <v>6000000</v>
      </c>
      <c r="AF21" s="8">
        <f t="shared" si="5"/>
        <v>1</v>
      </c>
      <c r="AG21" s="2">
        <f t="shared" si="6"/>
        <v>750000</v>
      </c>
      <c r="AH21" s="8">
        <f t="shared" si="37"/>
        <v>1</v>
      </c>
      <c r="AI21" s="8">
        <f t="shared" si="0"/>
        <v>0.9099982735496871</v>
      </c>
      <c r="AJ21" s="2">
        <f t="shared" si="38"/>
        <v>601901.19620000001</v>
      </c>
      <c r="AK21" s="4">
        <f t="shared" si="1"/>
        <v>9.9101709185809767E-2</v>
      </c>
      <c r="AL21" s="4">
        <f t="shared" si="9"/>
        <v>0.98446837445909385</v>
      </c>
      <c r="AM21" s="4">
        <f t="shared" si="10"/>
        <v>1.0323145644067323E-2</v>
      </c>
      <c r="AN21" s="4">
        <f t="shared" si="11"/>
        <v>1.4555710195857171E-3</v>
      </c>
      <c r="AO21" s="4">
        <f t="shared" si="12"/>
        <v>8.660765492642798E-4</v>
      </c>
      <c r="AP21" s="4">
        <f t="shared" si="13"/>
        <v>3.4971138449911945E-4</v>
      </c>
      <c r="AQ21" s="4">
        <f t="shared" si="14"/>
        <v>0</v>
      </c>
      <c r="AR21" s="4">
        <f t="shared" si="15"/>
        <v>0</v>
      </c>
    </row>
    <row r="22" spans="1:44" x14ac:dyDescent="0.25">
      <c r="A22">
        <f t="shared" si="26"/>
        <v>18</v>
      </c>
      <c r="B22" s="3">
        <f t="shared" si="17"/>
        <v>42415</v>
      </c>
      <c r="C22">
        <v>2548</v>
      </c>
      <c r="D22" s="2">
        <v>65623714.82</v>
      </c>
      <c r="E22" s="8">
        <f t="shared" si="18"/>
        <v>0.87498140024778781</v>
      </c>
      <c r="F22" s="1">
        <v>271766.28000000003</v>
      </c>
      <c r="G22" s="1"/>
      <c r="H22" s="1"/>
      <c r="I22" s="1"/>
      <c r="J22" s="1"/>
      <c r="K22" s="1"/>
      <c r="L22" s="1"/>
      <c r="M22" s="6">
        <f t="shared" si="2"/>
        <v>4.1087614905959691E-3</v>
      </c>
      <c r="N22" s="6">
        <f t="shared" ref="N22" si="58">1-(+M22-1)^12</f>
        <v>4.8206050983504722E-2</v>
      </c>
      <c r="O22" s="6">
        <f t="shared" ref="O22" si="59">AVERAGE(N20:N22)</f>
        <v>4.9592637557101561E-2</v>
      </c>
      <c r="P22" s="6">
        <f t="shared" ref="P22" si="60">AVERAGE(N17:N22)</f>
        <v>5.202315269689909E-2</v>
      </c>
      <c r="Q22" s="27">
        <f t="shared" si="42"/>
        <v>4.7155150099044529E-2</v>
      </c>
      <c r="R22" s="2">
        <v>0</v>
      </c>
      <c r="S22" s="26">
        <v>64686308</v>
      </c>
      <c r="T22" s="26">
        <v>545092</v>
      </c>
      <c r="U22" s="26">
        <v>70941</v>
      </c>
      <c r="V22" s="26">
        <v>96276</v>
      </c>
      <c r="W22" s="26">
        <v>57285</v>
      </c>
      <c r="X22" s="26">
        <v>0</v>
      </c>
      <c r="Y22" s="26">
        <v>0</v>
      </c>
      <c r="Z22" s="26">
        <f t="shared" si="34"/>
        <v>196618.26</v>
      </c>
      <c r="AA22" s="4">
        <f t="shared" si="35"/>
        <v>2.6215724135850377E-3</v>
      </c>
      <c r="AB22" s="2">
        <v>59739588.109999999</v>
      </c>
      <c r="AC22" s="4">
        <f t="shared" si="36"/>
        <v>0.87530532029304031</v>
      </c>
      <c r="AD22" s="25">
        <f t="shared" si="4"/>
        <v>49235924.266483516</v>
      </c>
      <c r="AE22" s="2">
        <f t="shared" si="32"/>
        <v>6000000</v>
      </c>
      <c r="AF22" s="8">
        <f t="shared" si="5"/>
        <v>1</v>
      </c>
      <c r="AG22" s="2">
        <f t="shared" si="6"/>
        <v>750000</v>
      </c>
      <c r="AH22" s="8">
        <f t="shared" si="37"/>
        <v>1</v>
      </c>
      <c r="AI22" s="8">
        <f t="shared" si="0"/>
        <v>0.91033536083503297</v>
      </c>
      <c r="AJ22" s="2">
        <f t="shared" si="38"/>
        <v>597395.8811</v>
      </c>
      <c r="AK22" s="4">
        <f t="shared" si="1"/>
        <v>9.8767992773317367E-2</v>
      </c>
      <c r="AL22" s="4">
        <f t="shared" si="9"/>
        <v>0.98571542585525329</v>
      </c>
      <c r="AM22" s="4">
        <f t="shared" si="10"/>
        <v>8.306326478090105E-3</v>
      </c>
      <c r="AN22" s="4">
        <f t="shared" si="11"/>
        <v>1.0810268847867702E-3</v>
      </c>
      <c r="AO22" s="4">
        <f t="shared" si="12"/>
        <v>1.4670915882174071E-3</v>
      </c>
      <c r="AP22" s="4">
        <f t="shared" si="13"/>
        <v>8.7293138093641378E-4</v>
      </c>
      <c r="AQ22" s="4">
        <f t="shared" si="14"/>
        <v>0</v>
      </c>
      <c r="AR22" s="4">
        <f t="shared" si="15"/>
        <v>0</v>
      </c>
    </row>
    <row r="23" spans="1:44" x14ac:dyDescent="0.25">
      <c r="A23">
        <f t="shared" si="26"/>
        <v>19</v>
      </c>
      <c r="B23" s="3">
        <f t="shared" si="17"/>
        <v>42444</v>
      </c>
      <c r="C23">
        <v>2539</v>
      </c>
      <c r="D23" s="2">
        <v>65166756.93</v>
      </c>
      <c r="E23" s="8">
        <f t="shared" si="18"/>
        <v>0.86888863857553</v>
      </c>
      <c r="F23" s="1">
        <v>205737.48</v>
      </c>
      <c r="G23" s="1"/>
      <c r="H23" s="1"/>
      <c r="I23" s="1"/>
      <c r="J23" s="1"/>
      <c r="K23" s="1"/>
      <c r="L23" s="1"/>
      <c r="M23" s="6">
        <f t="shared" si="2"/>
        <v>3.1351087112992549E-3</v>
      </c>
      <c r="N23" s="6">
        <f t="shared" ref="N23:N25" si="61">1-(+M23-1)^12</f>
        <v>3.6979328348214047E-2</v>
      </c>
      <c r="O23" s="6">
        <f t="shared" ref="O23:O25" si="62">AVERAGE(N21:N23)</f>
        <v>4.1005326759172088E-2</v>
      </c>
      <c r="P23" s="6">
        <f t="shared" ref="P23:P25" si="63">AVERAGE(N18:N23)</f>
        <v>4.9840996845626116E-2</v>
      </c>
      <c r="Q23" s="27">
        <f t="shared" ref="Q23:Q25" si="64">AVERAGE(N12:N23)</f>
        <v>4.6181413744261053E-2</v>
      </c>
      <c r="R23" s="2">
        <v>0</v>
      </c>
      <c r="S23" s="26">
        <v>63634393</v>
      </c>
      <c r="T23" s="26">
        <v>1033962</v>
      </c>
      <c r="U23" s="26">
        <v>121870</v>
      </c>
      <c r="V23" s="26">
        <v>70941</v>
      </c>
      <c r="W23" s="26">
        <v>96276</v>
      </c>
      <c r="X23" s="26">
        <v>41503</v>
      </c>
      <c r="Y23" s="26">
        <v>0</v>
      </c>
      <c r="Z23" s="26">
        <f t="shared" ref="Z23:Z25" si="65">+Z22+Y23</f>
        <v>196618.26</v>
      </c>
      <c r="AA23" s="4">
        <f t="shared" ref="AA23:AA25" si="66">+Z23/$D$4</f>
        <v>2.6215724135850377E-3</v>
      </c>
      <c r="AB23" s="2">
        <v>59353871.979999997</v>
      </c>
      <c r="AC23" s="4">
        <f t="shared" si="36"/>
        <v>0.86965380190476183</v>
      </c>
      <c r="AD23" s="25">
        <f t="shared" si="4"/>
        <v>48918026.357142851</v>
      </c>
      <c r="AE23" s="2">
        <f t="shared" si="32"/>
        <v>6000000</v>
      </c>
      <c r="AF23" s="8">
        <f t="shared" si="5"/>
        <v>1</v>
      </c>
      <c r="AG23" s="2">
        <f t="shared" si="6"/>
        <v>750000</v>
      </c>
      <c r="AH23" s="8">
        <f t="shared" ref="AH23:AH25" si="67">+AG23/$AG$4</f>
        <v>1</v>
      </c>
      <c r="AI23" s="8">
        <f t="shared" si="0"/>
        <v>0.91079984298982353</v>
      </c>
      <c r="AJ23" s="2">
        <f t="shared" si="38"/>
        <v>593538.71979999996</v>
      </c>
      <c r="AK23" s="4">
        <f t="shared" si="1"/>
        <v>9.8308155440074707E-2</v>
      </c>
      <c r="AL23" s="4">
        <f t="shared" si="9"/>
        <v>0.97648549656006334</v>
      </c>
      <c r="AM23" s="4">
        <f t="shared" si="10"/>
        <v>1.5866402575636044E-2</v>
      </c>
      <c r="AN23" s="4">
        <f t="shared" si="11"/>
        <v>1.8701252868990974E-3</v>
      </c>
      <c r="AO23" s="4">
        <f t="shared" si="12"/>
        <v>1.0886071878059315E-3</v>
      </c>
      <c r="AP23" s="4">
        <f t="shared" si="13"/>
        <v>1.4773790278288135E-3</v>
      </c>
      <c r="AQ23" s="4">
        <f t="shared" si="14"/>
        <v>6.3687379816339739E-4</v>
      </c>
      <c r="AR23" s="4">
        <f t="shared" si="15"/>
        <v>0</v>
      </c>
    </row>
    <row r="24" spans="1:44" x14ac:dyDescent="0.25">
      <c r="A24">
        <f t="shared" si="26"/>
        <v>20</v>
      </c>
      <c r="B24" s="3">
        <f t="shared" si="17"/>
        <v>42475</v>
      </c>
      <c r="C24">
        <v>2528</v>
      </c>
      <c r="D24" s="2">
        <v>64708725.640000001</v>
      </c>
      <c r="E24" s="8">
        <f t="shared" si="18"/>
        <v>0.86278156492721891</v>
      </c>
      <c r="F24" s="1">
        <v>240611.77</v>
      </c>
      <c r="G24" s="1"/>
      <c r="H24" s="1"/>
      <c r="I24" s="1"/>
      <c r="J24" s="1"/>
      <c r="K24" s="1"/>
      <c r="L24" s="1"/>
      <c r="M24" s="6">
        <f t="shared" si="2"/>
        <v>3.692247110876751E-3</v>
      </c>
      <c r="N24" s="6">
        <f t="shared" si="61"/>
        <v>4.3418190176003679E-2</v>
      </c>
      <c r="O24" s="6">
        <f t="shared" si="62"/>
        <v>4.2867856502574152E-2</v>
      </c>
      <c r="P24" s="6">
        <f t="shared" si="63"/>
        <v>4.6303377047807237E-2</v>
      </c>
      <c r="Q24" s="27">
        <f t="shared" si="64"/>
        <v>4.5726367358530445E-2</v>
      </c>
      <c r="R24" s="2">
        <v>0</v>
      </c>
      <c r="S24" s="26">
        <v>63492277</v>
      </c>
      <c r="T24" s="26">
        <v>683339</v>
      </c>
      <c r="U24" s="26">
        <v>147189</v>
      </c>
      <c r="V24" s="26">
        <v>85847</v>
      </c>
      <c r="W24" s="26">
        <v>27482</v>
      </c>
      <c r="X24" s="26">
        <v>96276</v>
      </c>
      <c r="Y24" s="26">
        <v>41502.620000000003</v>
      </c>
      <c r="Z24" s="26">
        <f t="shared" si="65"/>
        <v>238120.88</v>
      </c>
      <c r="AA24" s="4">
        <f t="shared" si="66"/>
        <v>3.17493975435747E-3</v>
      </c>
      <c r="AB24" s="2">
        <v>58967802.159999996</v>
      </c>
      <c r="AC24" s="4">
        <f t="shared" si="36"/>
        <v>0.86399710124542117</v>
      </c>
      <c r="AD24" s="25">
        <f t="shared" si="4"/>
        <v>48599836.945054941</v>
      </c>
      <c r="AE24" s="2">
        <f t="shared" si="32"/>
        <v>6000000</v>
      </c>
      <c r="AF24" s="8">
        <f t="shared" si="5"/>
        <v>1</v>
      </c>
      <c r="AG24" s="2">
        <f t="shared" si="6"/>
        <v>750000</v>
      </c>
      <c r="AH24" s="8">
        <f t="shared" si="67"/>
        <v>1</v>
      </c>
      <c r="AI24" s="8">
        <f t="shared" si="0"/>
        <v>0.91128053561216749</v>
      </c>
      <c r="AJ24" s="2">
        <f t="shared" si="38"/>
        <v>589678.02159999998</v>
      </c>
      <c r="AK24" s="4">
        <f t="shared" si="1"/>
        <v>9.7832269743954189E-2</v>
      </c>
      <c r="AL24" s="4">
        <f t="shared" si="9"/>
        <v>0.98120116525292767</v>
      </c>
      <c r="AM24" s="4">
        <f t="shared" si="10"/>
        <v>1.0560229601826539E-2</v>
      </c>
      <c r="AN24" s="4">
        <f t="shared" si="11"/>
        <v>2.2746391393777417E-3</v>
      </c>
      <c r="AO24" s="4">
        <f t="shared" si="12"/>
        <v>1.3266680675740781E-3</v>
      </c>
      <c r="AP24" s="4">
        <f t="shared" si="13"/>
        <v>4.2470315599928729E-4</v>
      </c>
      <c r="AQ24" s="4">
        <f t="shared" si="14"/>
        <v>1.4878364401057923E-3</v>
      </c>
      <c r="AR24" s="4">
        <f t="shared" si="15"/>
        <v>6.4137594411757298E-4</v>
      </c>
    </row>
    <row r="25" spans="1:44" x14ac:dyDescent="0.25">
      <c r="A25">
        <f t="shared" si="26"/>
        <v>21</v>
      </c>
      <c r="B25" s="3">
        <f t="shared" si="17"/>
        <v>42505</v>
      </c>
      <c r="C25">
        <v>2520</v>
      </c>
      <c r="D25" s="2">
        <v>64331235.159999996</v>
      </c>
      <c r="E25" s="8">
        <f t="shared" si="18"/>
        <v>0.85774836694876577</v>
      </c>
      <c r="F25" s="1">
        <v>187145.46</v>
      </c>
      <c r="G25" s="1"/>
      <c r="H25" s="1"/>
      <c r="I25" s="1"/>
      <c r="J25" s="1"/>
      <c r="K25" s="1"/>
      <c r="L25" s="1"/>
      <c r="M25" s="6">
        <f t="shared" si="2"/>
        <v>2.8921209334451048E-3</v>
      </c>
      <c r="N25" s="6">
        <f t="shared" si="61"/>
        <v>3.4158690704163885E-2</v>
      </c>
      <c r="O25" s="6">
        <f t="shared" si="62"/>
        <v>3.8185403076127201E-2</v>
      </c>
      <c r="P25" s="6">
        <f t="shared" si="63"/>
        <v>4.3889020316614381E-2</v>
      </c>
      <c r="Q25" s="27">
        <f t="shared" si="64"/>
        <v>4.3269748344145036E-2</v>
      </c>
      <c r="R25" s="2">
        <v>521012.08</v>
      </c>
      <c r="S25" s="26">
        <v>63142614</v>
      </c>
      <c r="T25" s="26">
        <v>603410</v>
      </c>
      <c r="U25" s="26">
        <v>194251</v>
      </c>
      <c r="V25" s="26">
        <v>57887</v>
      </c>
      <c r="W25" s="26">
        <v>0</v>
      </c>
      <c r="X25" s="26">
        <v>27482</v>
      </c>
      <c r="Y25" s="26">
        <v>68163.17</v>
      </c>
      <c r="Z25" s="26">
        <f t="shared" si="65"/>
        <v>306284.05</v>
      </c>
      <c r="AA25" s="4">
        <f t="shared" si="66"/>
        <v>4.0837805003518003E-3</v>
      </c>
      <c r="AB25" s="2">
        <v>58665505</v>
      </c>
      <c r="AC25" s="4">
        <f t="shared" si="36"/>
        <v>0.85956783882783883</v>
      </c>
      <c r="AD25" s="25">
        <f t="shared" si="4"/>
        <v>48350690.934065931</v>
      </c>
      <c r="AE25" s="2">
        <f t="shared" si="32"/>
        <v>6000000</v>
      </c>
      <c r="AF25" s="8">
        <f t="shared" si="5"/>
        <v>1</v>
      </c>
      <c r="AG25" s="2">
        <f t="shared" si="6"/>
        <v>750000</v>
      </c>
      <c r="AH25" s="8">
        <f t="shared" si="67"/>
        <v>1</v>
      </c>
      <c r="AI25" s="8">
        <f t="shared" si="0"/>
        <v>0.91192878318116233</v>
      </c>
      <c r="AJ25" s="2">
        <f t="shared" si="38"/>
        <v>586655.05000000005</v>
      </c>
      <c r="AK25" s="4">
        <f t="shared" si="1"/>
        <v>9.7190504650649295E-2</v>
      </c>
      <c r="AL25" s="4">
        <f t="shared" si="9"/>
        <v>0.98152342082281263</v>
      </c>
      <c r="AM25" s="4">
        <f t="shared" si="10"/>
        <v>9.3797359633969769E-3</v>
      </c>
      <c r="AN25" s="4">
        <f t="shared" si="11"/>
        <v>3.0195440755470177E-3</v>
      </c>
      <c r="AO25" s="4">
        <f t="shared" si="12"/>
        <v>8.998272745117926E-4</v>
      </c>
      <c r="AP25" s="4">
        <f t="shared" si="13"/>
        <v>0</v>
      </c>
      <c r="AQ25" s="4">
        <f t="shared" si="14"/>
        <v>4.2719527973695447E-4</v>
      </c>
      <c r="AR25" s="4">
        <f t="shared" si="15"/>
        <v>1.0595656966708238E-3</v>
      </c>
    </row>
    <row r="26" spans="1:44" x14ac:dyDescent="0.25">
      <c r="A26">
        <f t="shared" si="26"/>
        <v>22</v>
      </c>
      <c r="B26" s="3">
        <f t="shared" si="17"/>
        <v>42536</v>
      </c>
      <c r="C26">
        <v>2507</v>
      </c>
      <c r="D26" s="2">
        <v>63811385.479999997</v>
      </c>
      <c r="E26" s="8">
        <f t="shared" si="18"/>
        <v>0.85081704947957948</v>
      </c>
      <c r="F26" s="1">
        <v>316341.3</v>
      </c>
      <c r="G26" s="1"/>
      <c r="H26" s="1"/>
      <c r="I26" s="1"/>
      <c r="J26" s="1"/>
      <c r="K26" s="1"/>
      <c r="L26" s="1"/>
      <c r="M26" s="6">
        <f t="shared" si="2"/>
        <v>4.9173826557692979E-3</v>
      </c>
      <c r="N26" s="6">
        <f t="shared" ref="N26" si="68">1-(+M26-1)^12</f>
        <v>5.7438540875169641E-2</v>
      </c>
      <c r="O26" s="6">
        <f t="shared" ref="O26" si="69">AVERAGE(N24:N26)</f>
        <v>4.5005140585112402E-2</v>
      </c>
      <c r="P26" s="6">
        <f t="shared" ref="P26" si="70">AVERAGE(N21:N26)</f>
        <v>4.3005233672142242E-2</v>
      </c>
      <c r="Q26" s="27">
        <f t="shared" ref="Q26" si="71">AVERAGE(N15:N26)</f>
        <v>4.6683577779233654E-2</v>
      </c>
      <c r="R26" s="2">
        <v>979970.27</v>
      </c>
      <c r="S26" s="26">
        <v>62683819</v>
      </c>
      <c r="T26" s="26">
        <v>553336</v>
      </c>
      <c r="U26" s="26">
        <v>203898</v>
      </c>
      <c r="V26" s="26">
        <v>37573</v>
      </c>
      <c r="W26" s="26">
        <v>27253</v>
      </c>
      <c r="X26" s="26">
        <v>0</v>
      </c>
      <c r="Y26" s="26">
        <v>27482.03</v>
      </c>
      <c r="Z26" s="26">
        <f t="shared" ref="Z26:Z30" si="72">+Z25+Y26</f>
        <v>333766.07999999996</v>
      </c>
      <c r="AA26" s="4">
        <f t="shared" ref="AA26:AA30" si="73">+Z26/$D$4</f>
        <v>4.4502069539137249E-3</v>
      </c>
      <c r="AB26" s="2">
        <v>57995447.219999999</v>
      </c>
      <c r="AC26" s="4">
        <f t="shared" ref="AC26" si="74">+AB26/AB$4</f>
        <v>0.8497501424175824</v>
      </c>
      <c r="AD26" s="25">
        <f t="shared" si="4"/>
        <v>47798445.51098901</v>
      </c>
      <c r="AE26" s="2">
        <f t="shared" si="32"/>
        <v>6000000</v>
      </c>
      <c r="AF26" s="8">
        <f t="shared" si="5"/>
        <v>1</v>
      </c>
      <c r="AG26" s="2">
        <f t="shared" si="6"/>
        <v>750000</v>
      </c>
      <c r="AH26" s="8">
        <f t="shared" ref="AH26" si="75">+AG26/$AG$4</f>
        <v>1</v>
      </c>
      <c r="AI26" s="8">
        <f t="shared" si="0"/>
        <v>0.90885735803647683</v>
      </c>
      <c r="AJ26" s="2">
        <f t="shared" si="38"/>
        <v>579954.47219999996</v>
      </c>
      <c r="AK26" s="4">
        <f t="shared" si="1"/>
        <v>0.10023121554388788</v>
      </c>
      <c r="AL26" s="4">
        <f t="shared" si="9"/>
        <v>0.98232969756857258</v>
      </c>
      <c r="AM26" s="4">
        <f t="shared" si="10"/>
        <v>8.6714305893488032E-3</v>
      </c>
      <c r="AN26" s="4">
        <f t="shared" si="11"/>
        <v>3.1953231929732428E-3</v>
      </c>
      <c r="AO26" s="4">
        <f t="shared" si="12"/>
        <v>5.8881341812859196E-4</v>
      </c>
      <c r="AP26" s="4">
        <f t="shared" si="13"/>
        <v>4.2708679328929062E-4</v>
      </c>
      <c r="AQ26" s="4">
        <f t="shared" si="14"/>
        <v>0</v>
      </c>
      <c r="AR26" s="4">
        <f t="shared" si="15"/>
        <v>4.3067596469306436E-4</v>
      </c>
    </row>
    <row r="27" spans="1:44" x14ac:dyDescent="0.25">
      <c r="A27">
        <f t="shared" si="26"/>
        <v>23</v>
      </c>
      <c r="B27" s="3">
        <f t="shared" si="17"/>
        <v>42566</v>
      </c>
      <c r="C27">
        <v>2501</v>
      </c>
      <c r="D27" s="2">
        <v>63474875.490000002</v>
      </c>
      <c r="E27" s="8">
        <f t="shared" si="18"/>
        <v>0.84633025712021392</v>
      </c>
      <c r="F27" s="1">
        <v>145536.14000000001</v>
      </c>
      <c r="G27" s="1"/>
      <c r="H27" s="1"/>
      <c r="I27" s="1"/>
      <c r="J27" s="1"/>
      <c r="K27" s="1"/>
      <c r="L27" s="1"/>
      <c r="M27" s="6">
        <f t="shared" si="2"/>
        <v>2.2807237126298489E-3</v>
      </c>
      <c r="N27" s="6">
        <f t="shared" ref="N27" si="76">1-(+M27-1)^12</f>
        <v>2.702796896487214E-2</v>
      </c>
      <c r="O27" s="6">
        <f t="shared" ref="O27" si="77">AVERAGE(N25:N27)</f>
        <v>3.9541733514735222E-2</v>
      </c>
      <c r="P27" s="6">
        <f t="shared" ref="P27" si="78">AVERAGE(N22:N27)</f>
        <v>4.1204795008654684E-2</v>
      </c>
      <c r="Q27" s="27">
        <f t="shared" ref="Q27" si="79">AVERAGE(N16:N27)</f>
        <v>4.5907960638730726E-2</v>
      </c>
      <c r="R27" s="2">
        <v>506268.96</v>
      </c>
      <c r="S27" s="26">
        <v>62200113</v>
      </c>
      <c r="T27" s="26">
        <v>763801</v>
      </c>
      <c r="U27" s="26">
        <v>188361</v>
      </c>
      <c r="V27" s="26">
        <v>17324</v>
      </c>
      <c r="W27" s="26">
        <v>0</v>
      </c>
      <c r="X27" s="26">
        <v>27253</v>
      </c>
      <c r="Y27" s="26">
        <v>0</v>
      </c>
      <c r="Z27" s="26">
        <f t="shared" si="72"/>
        <v>333766.07999999996</v>
      </c>
      <c r="AA27" s="4">
        <f t="shared" si="73"/>
        <v>4.4502069539137249E-3</v>
      </c>
      <c r="AB27" s="2">
        <v>57289289.189999998</v>
      </c>
      <c r="AC27" s="4">
        <f t="shared" ref="AC27:AC30" si="80">+AB27/AB$4</f>
        <v>0.8394035046153846</v>
      </c>
      <c r="AD27" s="25">
        <f t="shared" si="4"/>
        <v>47216447.134615377</v>
      </c>
      <c r="AE27" s="2">
        <f t="shared" si="32"/>
        <v>6000000</v>
      </c>
      <c r="AF27" s="8">
        <f t="shared" si="5"/>
        <v>1</v>
      </c>
      <c r="AG27" s="2">
        <f t="shared" si="6"/>
        <v>750000</v>
      </c>
      <c r="AH27" s="8">
        <f t="shared" ref="AH27:AH29" si="81">+AG27/$AG$4</f>
        <v>1</v>
      </c>
      <c r="AI27" s="8">
        <f t="shared" si="0"/>
        <v>0.90255063515682676</v>
      </c>
      <c r="AJ27" s="2">
        <f t="shared" si="38"/>
        <v>572892.89190000005</v>
      </c>
      <c r="AK27" s="4">
        <f t="shared" si="1"/>
        <v>0.10647487119474154</v>
      </c>
      <c r="AL27" s="4">
        <f t="shared" si="9"/>
        <v>0.97991705410748176</v>
      </c>
      <c r="AM27" s="4">
        <f t="shared" si="10"/>
        <v>1.2033123249218996E-2</v>
      </c>
      <c r="AN27" s="4">
        <f t="shared" si="11"/>
        <v>2.9674890820333296E-3</v>
      </c>
      <c r="AO27" s="4">
        <f t="shared" si="12"/>
        <v>2.7292688431865091E-4</v>
      </c>
      <c r="AP27" s="4">
        <f t="shared" si="13"/>
        <v>0</v>
      </c>
      <c r="AQ27" s="4">
        <f t="shared" si="14"/>
        <v>4.2935098004711345E-4</v>
      </c>
      <c r="AR27" s="4">
        <f t="shared" si="15"/>
        <v>0</v>
      </c>
    </row>
    <row r="28" spans="1:44" x14ac:dyDescent="0.25">
      <c r="A28">
        <f t="shared" si="26"/>
        <v>24</v>
      </c>
      <c r="B28" s="3">
        <f t="shared" si="17"/>
        <v>42597</v>
      </c>
      <c r="C28">
        <v>2489</v>
      </c>
      <c r="D28" s="2">
        <v>62946896.009999998</v>
      </c>
      <c r="E28" s="8">
        <f t="shared" si="18"/>
        <v>0.83929054249906432</v>
      </c>
      <c r="F28" s="1">
        <v>250630.15</v>
      </c>
      <c r="G28" s="1"/>
      <c r="H28" s="1"/>
      <c r="I28" s="1"/>
      <c r="J28" s="1"/>
      <c r="K28" s="1"/>
      <c r="L28" s="1"/>
      <c r="M28" s="6">
        <f t="shared" si="2"/>
        <v>3.9484937633234886E-3</v>
      </c>
      <c r="N28" s="6">
        <f t="shared" ref="N28" si="82">1-(+M28-1)^12</f>
        <v>4.6366368868177688E-2</v>
      </c>
      <c r="O28" s="6">
        <f t="shared" ref="O28" si="83">AVERAGE(N26:N28)</f>
        <v>4.3610959569406492E-2</v>
      </c>
      <c r="P28" s="6">
        <f t="shared" ref="P28" si="84">AVERAGE(N23:N28)</f>
        <v>4.0898181322766847E-2</v>
      </c>
      <c r="Q28" s="27">
        <f t="shared" ref="Q28" si="85">AVERAGE(N17:N28)</f>
        <v>4.6460667009832972E-2</v>
      </c>
      <c r="R28" s="2">
        <v>0</v>
      </c>
      <c r="S28" s="26">
        <v>61506543</v>
      </c>
      <c r="T28" s="26">
        <v>839188</v>
      </c>
      <c r="U28" s="26">
        <v>305889</v>
      </c>
      <c r="V28" s="26">
        <v>0</v>
      </c>
      <c r="W28" s="26">
        <v>0</v>
      </c>
      <c r="X28" s="26">
        <v>0</v>
      </c>
      <c r="Y28" s="26">
        <v>27252</v>
      </c>
      <c r="Z28" s="26">
        <f t="shared" si="72"/>
        <v>361018.07999999996</v>
      </c>
      <c r="AA28" s="4">
        <f t="shared" si="73"/>
        <v>4.8135663459407899E-3</v>
      </c>
      <c r="AB28" s="2">
        <v>56845389.270000003</v>
      </c>
      <c r="AC28" s="4">
        <f t="shared" si="80"/>
        <v>0.83289947648351648</v>
      </c>
      <c r="AD28" s="25">
        <f t="shared" si="4"/>
        <v>46850595.552197799</v>
      </c>
      <c r="AE28" s="2">
        <f t="shared" si="32"/>
        <v>6000000</v>
      </c>
      <c r="AF28" s="8">
        <f t="shared" si="5"/>
        <v>1</v>
      </c>
      <c r="AG28" s="2">
        <f t="shared" si="6"/>
        <v>750000</v>
      </c>
      <c r="AH28" s="8">
        <f t="shared" si="81"/>
        <v>1</v>
      </c>
      <c r="AI28" s="8">
        <f t="shared" si="0"/>
        <v>0.90306898152641735</v>
      </c>
      <c r="AJ28" s="2">
        <f t="shared" si="38"/>
        <v>568453.89270000008</v>
      </c>
      <c r="AK28" s="4">
        <f t="shared" si="1"/>
        <v>0.10596170828884682</v>
      </c>
      <c r="AL28" s="4">
        <f t="shared" si="9"/>
        <v>0.97711796607459123</v>
      </c>
      <c r="AM28" s="4">
        <f t="shared" si="10"/>
        <v>1.3331681992177711E-2</v>
      </c>
      <c r="AN28" s="4">
        <f t="shared" si="11"/>
        <v>4.8594771051364508E-3</v>
      </c>
      <c r="AO28" s="4">
        <f t="shared" si="12"/>
        <v>0</v>
      </c>
      <c r="AP28" s="4">
        <f t="shared" si="13"/>
        <v>0</v>
      </c>
      <c r="AQ28" s="4">
        <f t="shared" si="14"/>
        <v>0</v>
      </c>
      <c r="AR28" s="4">
        <f t="shared" si="15"/>
        <v>4.3293635949373321E-4</v>
      </c>
    </row>
    <row r="29" spans="1:44" x14ac:dyDescent="0.25">
      <c r="A29">
        <f t="shared" si="26"/>
        <v>25</v>
      </c>
      <c r="B29" s="3">
        <f t="shared" si="17"/>
        <v>42628</v>
      </c>
      <c r="C29">
        <v>2478</v>
      </c>
      <c r="D29" s="2">
        <v>62522546.850000001</v>
      </c>
      <c r="E29" s="8">
        <f t="shared" si="18"/>
        <v>0.83363256316599543</v>
      </c>
      <c r="F29" s="1">
        <v>232741.44</v>
      </c>
      <c r="G29" s="1"/>
      <c r="H29" s="1"/>
      <c r="I29" s="1"/>
      <c r="J29" s="1"/>
      <c r="K29" s="1"/>
      <c r="L29" s="1"/>
      <c r="M29" s="6">
        <f t="shared" si="2"/>
        <v>3.6974252068446038E-3</v>
      </c>
      <c r="N29" s="6">
        <f t="shared" ref="N29" si="86">1-(+M29-1)^12</f>
        <v>4.3477848017398069E-2</v>
      </c>
      <c r="O29" s="6">
        <f t="shared" ref="O29" si="87">AVERAGE(N27:N29)</f>
        <v>3.8957395283482632E-2</v>
      </c>
      <c r="P29" s="6">
        <f t="shared" ref="P29" si="88">AVERAGE(N24:N29)</f>
        <v>4.1981267934297517E-2</v>
      </c>
      <c r="Q29" s="27">
        <f t="shared" ref="Q29" si="89">AVERAGE(N18:N29)</f>
        <v>4.5911132389961813E-2</v>
      </c>
      <c r="R29" s="2">
        <v>0</v>
      </c>
      <c r="S29" s="26">
        <v>61016275</v>
      </c>
      <c r="T29" s="26">
        <v>836652</v>
      </c>
      <c r="U29" s="26">
        <v>273398</v>
      </c>
      <c r="V29" s="26">
        <v>90946</v>
      </c>
      <c r="W29" s="26">
        <v>0</v>
      </c>
      <c r="X29" s="26">
        <v>0</v>
      </c>
      <c r="Y29" s="26">
        <v>0</v>
      </c>
      <c r="Z29" s="26">
        <f t="shared" si="72"/>
        <v>361018.07999999996</v>
      </c>
      <c r="AA29" s="4">
        <f t="shared" si="73"/>
        <v>4.8135663459407899E-3</v>
      </c>
      <c r="AB29" s="2">
        <v>56466534.390000001</v>
      </c>
      <c r="AC29" s="4">
        <f t="shared" si="80"/>
        <v>0.8273484892307692</v>
      </c>
      <c r="AD29" s="25">
        <f t="shared" si="4"/>
        <v>46538352.519230768</v>
      </c>
      <c r="AE29" s="2">
        <f t="shared" si="32"/>
        <v>6000000</v>
      </c>
      <c r="AF29" s="8">
        <f t="shared" si="5"/>
        <v>1</v>
      </c>
      <c r="AG29" s="2">
        <f t="shared" si="6"/>
        <v>750000</v>
      </c>
      <c r="AH29" s="8">
        <f t="shared" si="81"/>
        <v>1</v>
      </c>
      <c r="AI29" s="8">
        <f t="shared" si="0"/>
        <v>0.90313874329961019</v>
      </c>
      <c r="AJ29" s="2">
        <f t="shared" si="38"/>
        <v>564665.34389999998</v>
      </c>
      <c r="AK29" s="4">
        <f t="shared" si="1"/>
        <v>0.10589264413338599</v>
      </c>
      <c r="AL29" s="4">
        <f t="shared" si="9"/>
        <v>0.97590834145618299</v>
      </c>
      <c r="AM29" s="4">
        <f t="shared" si="10"/>
        <v>1.338160459149626E-2</v>
      </c>
      <c r="AN29" s="4">
        <f t="shared" si="11"/>
        <v>4.3727905175699024E-3</v>
      </c>
      <c r="AO29" s="4">
        <f t="shared" si="12"/>
        <v>1.4546112495735608E-3</v>
      </c>
      <c r="AP29" s="4">
        <f t="shared" si="13"/>
        <v>0</v>
      </c>
      <c r="AQ29" s="4">
        <f t="shared" si="14"/>
        <v>0</v>
      </c>
      <c r="AR29" s="4">
        <f t="shared" si="15"/>
        <v>0</v>
      </c>
    </row>
    <row r="30" spans="1:44" x14ac:dyDescent="0.25">
      <c r="A30">
        <f t="shared" si="26"/>
        <v>26</v>
      </c>
      <c r="B30" s="3">
        <f t="shared" ref="B30:B145" si="90">DATE(YEAR(B29),MONTH(B29)+1,15)</f>
        <v>42658</v>
      </c>
      <c r="C30">
        <v>2463</v>
      </c>
      <c r="D30" s="2">
        <v>61858745.68</v>
      </c>
      <c r="E30" s="8">
        <f t="shared" si="18"/>
        <v>0.82478189570826554</v>
      </c>
      <c r="F30" s="1">
        <v>232741.44</v>
      </c>
      <c r="G30" s="1"/>
      <c r="H30" s="1"/>
      <c r="I30" s="1"/>
      <c r="J30" s="1"/>
      <c r="K30" s="1"/>
      <c r="L30" s="1"/>
      <c r="M30" s="6">
        <f t="shared" si="2"/>
        <v>3.7225201423476562E-3</v>
      </c>
      <c r="N30" s="6">
        <f t="shared" ref="N30:N48" si="91">1-(+M30-1)^12</f>
        <v>4.3766923291169935E-2</v>
      </c>
      <c r="O30" s="6">
        <f t="shared" ref="O30:O48" si="92">AVERAGE(N28:N30)</f>
        <v>4.4537046725581897E-2</v>
      </c>
      <c r="P30" s="6">
        <f t="shared" ref="P30:P48" si="93">AVERAGE(N25:N30)</f>
        <v>4.203939012015856E-2</v>
      </c>
      <c r="Q30" s="27">
        <f t="shared" ref="Q30:Q48" si="94">AVERAGE(N19:N30)</f>
        <v>4.4171383583982898E-2</v>
      </c>
      <c r="R30" s="2">
        <v>0</v>
      </c>
      <c r="S30" s="26">
        <v>60628064</v>
      </c>
      <c r="T30" s="26">
        <v>645549</v>
      </c>
      <c r="U30" s="26">
        <v>213655</v>
      </c>
      <c r="V30" s="26">
        <v>0</v>
      </c>
      <c r="W30" s="26">
        <v>66201</v>
      </c>
      <c r="X30" s="26">
        <v>0</v>
      </c>
      <c r="Y30" s="26">
        <v>0</v>
      </c>
      <c r="Z30" s="26">
        <f t="shared" si="72"/>
        <v>361018.07999999996</v>
      </c>
      <c r="AA30" s="4">
        <f t="shared" si="73"/>
        <v>4.8135663459407899E-3</v>
      </c>
      <c r="AB30" s="2">
        <v>55870558.539999999</v>
      </c>
      <c r="AC30" s="4">
        <f t="shared" si="80"/>
        <v>0.81861624234432229</v>
      </c>
      <c r="AD30" s="25">
        <f t="shared" si="4"/>
        <v>46047163.631868131</v>
      </c>
      <c r="AE30" s="2">
        <f t="shared" si="32"/>
        <v>6000000</v>
      </c>
      <c r="AF30" s="8">
        <f t="shared" si="5"/>
        <v>1</v>
      </c>
      <c r="AG30" s="2">
        <f t="shared" si="6"/>
        <v>750000</v>
      </c>
      <c r="AH30" s="8">
        <f t="shared" ref="AH30" si="95">+AG30/$AG$4</f>
        <v>1</v>
      </c>
      <c r="AI30" s="8">
        <f t="shared" si="0"/>
        <v>0.90319578785225696</v>
      </c>
      <c r="AJ30" s="2">
        <f t="shared" si="38"/>
        <v>558705.58539999998</v>
      </c>
      <c r="AK30" s="4">
        <f t="shared" si="1"/>
        <v>0.10583617002626557</v>
      </c>
      <c r="AL30" s="4">
        <f t="shared" si="9"/>
        <v>0.98010496872396335</v>
      </c>
      <c r="AM30" s="4">
        <f t="shared" si="10"/>
        <v>1.0435856610146512E-2</v>
      </c>
      <c r="AN30" s="4">
        <f t="shared" si="11"/>
        <v>3.4539174315828124E-3</v>
      </c>
      <c r="AO30" s="4">
        <f t="shared" si="12"/>
        <v>0</v>
      </c>
      <c r="AP30" s="4">
        <f t="shared" si="13"/>
        <v>1.0701962878856745E-3</v>
      </c>
      <c r="AQ30" s="4">
        <f t="shared" si="14"/>
        <v>0</v>
      </c>
      <c r="AR30" s="4">
        <f t="shared" si="15"/>
        <v>0</v>
      </c>
    </row>
    <row r="31" spans="1:44" x14ac:dyDescent="0.25">
      <c r="A31">
        <f t="shared" si="26"/>
        <v>27</v>
      </c>
      <c r="B31" s="3">
        <f t="shared" si="90"/>
        <v>42689</v>
      </c>
      <c r="C31">
        <v>2448</v>
      </c>
      <c r="D31" s="2">
        <v>61216692.710000001</v>
      </c>
      <c r="E31" s="8">
        <f t="shared" si="18"/>
        <v>0.81622120376534857</v>
      </c>
      <c r="F31" s="1">
        <v>376488.75</v>
      </c>
      <c r="G31" s="1"/>
      <c r="H31" s="1"/>
      <c r="I31" s="1"/>
      <c r="J31" s="1"/>
      <c r="K31" s="1"/>
      <c r="L31" s="1"/>
      <c r="M31" s="6">
        <f t="shared" si="2"/>
        <v>6.0862655047615247E-3</v>
      </c>
      <c r="N31" s="6">
        <f t="shared" si="91"/>
        <v>7.0639299251768484E-2</v>
      </c>
      <c r="O31" s="6">
        <f t="shared" si="92"/>
        <v>5.2628023520112165E-2</v>
      </c>
      <c r="P31" s="6">
        <f t="shared" si="93"/>
        <v>4.8119491544759328E-2</v>
      </c>
      <c r="Q31" s="27">
        <f t="shared" si="94"/>
        <v>4.6004255930686855E-2</v>
      </c>
      <c r="R31" s="2">
        <v>0</v>
      </c>
      <c r="S31" s="26">
        <v>59956345</v>
      </c>
      <c r="T31" s="26">
        <v>628112</v>
      </c>
      <c r="U31" s="26">
        <v>175319</v>
      </c>
      <c r="V31" s="26">
        <v>120321</v>
      </c>
      <c r="W31" s="26">
        <v>0</v>
      </c>
      <c r="X31" s="26">
        <v>66201</v>
      </c>
      <c r="Y31" s="26">
        <v>0</v>
      </c>
      <c r="Z31" s="26">
        <f t="shared" ref="Z31:Z49" si="96">+Z30+Y31</f>
        <v>361018.07999999996</v>
      </c>
      <c r="AA31" s="4">
        <f t="shared" ref="AA31:AA49" si="97">+Z31/$D$4</f>
        <v>4.8135663459407899E-3</v>
      </c>
      <c r="AB31" s="2">
        <v>55317842.079999998</v>
      </c>
      <c r="AC31" s="4">
        <f t="shared" ref="AC31:AC49" si="98">+AB31/AB$4</f>
        <v>0.81051783267399269</v>
      </c>
      <c r="AD31" s="25">
        <f t="shared" si="4"/>
        <v>45591628.087912083</v>
      </c>
      <c r="AE31" s="2">
        <f t="shared" si="32"/>
        <v>6000000</v>
      </c>
      <c r="AF31" s="8">
        <f t="shared" si="5"/>
        <v>1</v>
      </c>
      <c r="AG31" s="2">
        <f t="shared" si="6"/>
        <v>750000</v>
      </c>
      <c r="AH31" s="8">
        <f t="shared" ref="AH31:AH48" si="99">+AG31/$AG$4</f>
        <v>1</v>
      </c>
      <c r="AI31" s="8">
        <f t="shared" si="0"/>
        <v>0.90363983467802722</v>
      </c>
      <c r="AJ31" s="2">
        <f t="shared" si="38"/>
        <v>553178.42079999996</v>
      </c>
      <c r="AK31" s="4">
        <f t="shared" si="1"/>
        <v>0.10539656366875301</v>
      </c>
      <c r="AL31" s="4">
        <f t="shared" si="9"/>
        <v>0.97941169876702405</v>
      </c>
      <c r="AM31" s="4">
        <f t="shared" si="10"/>
        <v>1.0260469362099258E-2</v>
      </c>
      <c r="AN31" s="4">
        <f t="shared" si="11"/>
        <v>2.8639083922833504E-3</v>
      </c>
      <c r="AO31" s="4">
        <f t="shared" si="12"/>
        <v>1.9654933102968017E-3</v>
      </c>
      <c r="AP31" s="4">
        <f t="shared" si="13"/>
        <v>0</v>
      </c>
      <c r="AQ31" s="4">
        <f t="shared" si="14"/>
        <v>1.081420721527901E-3</v>
      </c>
      <c r="AR31" s="4">
        <f t="shared" si="15"/>
        <v>0</v>
      </c>
    </row>
    <row r="32" spans="1:44" x14ac:dyDescent="0.25">
      <c r="A32">
        <f t="shared" si="26"/>
        <v>28</v>
      </c>
      <c r="B32" s="3">
        <f t="shared" si="90"/>
        <v>42719</v>
      </c>
      <c r="C32">
        <v>2437</v>
      </c>
      <c r="D32" s="2">
        <v>60792365.799999997</v>
      </c>
      <c r="E32" s="8">
        <f t="shared" si="18"/>
        <v>0.81056352109844987</v>
      </c>
      <c r="F32" s="1">
        <v>216108.06</v>
      </c>
      <c r="G32" s="1"/>
      <c r="H32" s="1"/>
      <c r="I32" s="1"/>
      <c r="J32" s="1"/>
      <c r="K32" s="1"/>
      <c r="L32" s="1"/>
      <c r="M32" s="6">
        <f t="shared" si="2"/>
        <v>3.5302145613086647E-3</v>
      </c>
      <c r="N32" s="6">
        <f t="shared" si="91"/>
        <v>4.1549657808443996E-2</v>
      </c>
      <c r="O32" s="6">
        <f t="shared" si="92"/>
        <v>5.1985293450460802E-2</v>
      </c>
      <c r="P32" s="6">
        <f t="shared" si="93"/>
        <v>4.5471344366971721E-2</v>
      </c>
      <c r="Q32" s="27">
        <f t="shared" si="94"/>
        <v>4.4238289019556981E-2</v>
      </c>
      <c r="R32" s="2">
        <v>0</v>
      </c>
      <c r="S32" s="26">
        <v>59393294</v>
      </c>
      <c r="T32" s="26">
        <v>846239</v>
      </c>
      <c r="U32" s="26">
        <v>198832</v>
      </c>
      <c r="V32" s="26">
        <v>57098</v>
      </c>
      <c r="W32" s="26">
        <v>23575</v>
      </c>
      <c r="X32" s="26">
        <v>0</v>
      </c>
      <c r="Y32" s="26">
        <v>66200.98</v>
      </c>
      <c r="Z32" s="26">
        <f t="shared" si="96"/>
        <v>427219.05999999994</v>
      </c>
      <c r="AA32" s="4">
        <f t="shared" si="97"/>
        <v>5.6962446023768641E-3</v>
      </c>
      <c r="AB32" s="2">
        <v>54962269.630000003</v>
      </c>
      <c r="AC32" s="4">
        <f t="shared" si="98"/>
        <v>0.80530797992673997</v>
      </c>
      <c r="AD32" s="25">
        <f t="shared" si="4"/>
        <v>45298573.870879121</v>
      </c>
      <c r="AE32" s="2">
        <f t="shared" si="32"/>
        <v>6000000</v>
      </c>
      <c r="AF32" s="8">
        <f t="shared" si="5"/>
        <v>1</v>
      </c>
      <c r="AG32" s="2">
        <f t="shared" si="6"/>
        <v>750000</v>
      </c>
      <c r="AH32" s="8">
        <f t="shared" si="99"/>
        <v>1</v>
      </c>
      <c r="AI32" s="8">
        <f t="shared" si="0"/>
        <v>0.90409821869442697</v>
      </c>
      <c r="AJ32" s="2">
        <f t="shared" si="38"/>
        <v>549622.69630000007</v>
      </c>
      <c r="AK32" s="4">
        <f t="shared" si="1"/>
        <v>0.10494276349251726</v>
      </c>
      <c r="AL32" s="4">
        <f t="shared" si="9"/>
        <v>0.97698606097017537</v>
      </c>
      <c r="AM32" s="4">
        <f t="shared" si="10"/>
        <v>1.3920152454405714E-2</v>
      </c>
      <c r="AN32" s="4">
        <f t="shared" si="11"/>
        <v>3.270673831877752E-3</v>
      </c>
      <c r="AO32" s="4">
        <f t="shared" si="12"/>
        <v>9.3922977414377911E-4</v>
      </c>
      <c r="AP32" s="4">
        <f t="shared" si="13"/>
        <v>3.8779540308661587E-4</v>
      </c>
      <c r="AQ32" s="4">
        <f t="shared" si="14"/>
        <v>0</v>
      </c>
      <c r="AR32" s="4">
        <f t="shared" si="15"/>
        <v>1.0889686415197876E-3</v>
      </c>
    </row>
    <row r="33" spans="1:44" x14ac:dyDescent="0.25">
      <c r="A33">
        <f t="shared" si="26"/>
        <v>29</v>
      </c>
      <c r="B33" s="3">
        <f t="shared" si="90"/>
        <v>42750</v>
      </c>
      <c r="C33">
        <v>2421</v>
      </c>
      <c r="D33" s="2">
        <v>60238823.729999997</v>
      </c>
      <c r="E33" s="8">
        <f t="shared" si="18"/>
        <v>0.80318297251425042</v>
      </c>
      <c r="F33" s="1">
        <v>308231.64</v>
      </c>
      <c r="G33" s="1"/>
      <c r="H33" s="1"/>
      <c r="I33" s="1"/>
      <c r="J33" s="1"/>
      <c r="K33" s="1"/>
      <c r="L33" s="1"/>
      <c r="M33" s="6">
        <f t="shared" si="2"/>
        <v>5.0702359736097E-3</v>
      </c>
      <c r="N33" s="6">
        <f t="shared" si="91"/>
        <v>5.917450111568523E-2</v>
      </c>
      <c r="O33" s="6">
        <f t="shared" si="92"/>
        <v>5.7121152725299239E-2</v>
      </c>
      <c r="P33" s="6">
        <f t="shared" si="93"/>
        <v>5.0829099725440564E-2</v>
      </c>
      <c r="Q33" s="27">
        <f t="shared" si="94"/>
        <v>4.6016947367047624E-2</v>
      </c>
      <c r="R33" s="2">
        <v>813294.76</v>
      </c>
      <c r="S33" s="26">
        <v>59393294</v>
      </c>
      <c r="T33" s="26">
        <v>846239</v>
      </c>
      <c r="U33" s="26">
        <v>198832</v>
      </c>
      <c r="V33" s="26">
        <v>57098</v>
      </c>
      <c r="W33" s="26">
        <v>23575</v>
      </c>
      <c r="X33" s="26">
        <v>0</v>
      </c>
      <c r="Y33" s="26">
        <v>0</v>
      </c>
      <c r="Z33" s="26">
        <f t="shared" si="96"/>
        <v>427219.05999999994</v>
      </c>
      <c r="AA33" s="4">
        <f t="shared" si="97"/>
        <v>5.6962446023768641E-3</v>
      </c>
      <c r="AB33" s="2">
        <v>53834477.899999999</v>
      </c>
      <c r="AC33" s="4">
        <f t="shared" si="98"/>
        <v>0.78878355897435892</v>
      </c>
      <c r="AD33" s="25">
        <f t="shared" si="4"/>
        <v>44369075.192307688</v>
      </c>
      <c r="AE33" s="2">
        <f t="shared" si="32"/>
        <v>6000000</v>
      </c>
      <c r="AF33" s="8">
        <f t="shared" si="5"/>
        <v>1</v>
      </c>
      <c r="AG33" s="2">
        <f t="shared" si="6"/>
        <v>750000</v>
      </c>
      <c r="AH33" s="8">
        <f t="shared" si="99"/>
        <v>1</v>
      </c>
      <c r="AI33" s="8">
        <f t="shared" si="0"/>
        <v>0.89368408223398754</v>
      </c>
      <c r="AJ33" s="2">
        <f t="shared" si="38"/>
        <v>538344.77899999998</v>
      </c>
      <c r="AK33" s="4">
        <f t="shared" si="1"/>
        <v>0.11525275858835229</v>
      </c>
      <c r="AL33" s="4">
        <f t="shared" si="9"/>
        <v>0.9859637078275334</v>
      </c>
      <c r="AM33" s="4">
        <f t="shared" si="10"/>
        <v>1.4048066472761453E-2</v>
      </c>
      <c r="AN33" s="4">
        <f t="shared" si="11"/>
        <v>3.3007284619499993E-3</v>
      </c>
      <c r="AO33" s="4">
        <f t="shared" si="12"/>
        <v>9.4786047376891572E-4</v>
      </c>
      <c r="AP33" s="4">
        <f t="shared" si="13"/>
        <v>3.9135890344849534E-4</v>
      </c>
      <c r="AQ33" s="4">
        <f t="shared" si="14"/>
        <v>0</v>
      </c>
      <c r="AR33" s="4">
        <f t="shared" si="15"/>
        <v>0</v>
      </c>
    </row>
    <row r="34" spans="1:44" x14ac:dyDescent="0.25">
      <c r="A34">
        <f t="shared" si="26"/>
        <v>30</v>
      </c>
      <c r="B34" s="3">
        <f t="shared" si="90"/>
        <v>42781</v>
      </c>
      <c r="C34">
        <v>2410</v>
      </c>
      <c r="D34" s="2">
        <v>59829293.689999998</v>
      </c>
      <c r="E34" s="8">
        <f t="shared" si="18"/>
        <v>0.79772258111724392</v>
      </c>
      <c r="F34" s="1">
        <v>204123.39</v>
      </c>
      <c r="G34" s="1"/>
      <c r="H34" s="1"/>
      <c r="I34" s="1"/>
      <c r="J34" s="1"/>
      <c r="K34" s="1"/>
      <c r="L34" s="1"/>
      <c r="M34" s="6">
        <f t="shared" si="2"/>
        <v>3.3885686565679565E-3</v>
      </c>
      <c r="N34" s="6">
        <f t="shared" si="91"/>
        <v>3.9913480686433411E-2</v>
      </c>
      <c r="O34" s="6">
        <f t="shared" si="92"/>
        <v>4.6879213203520877E-2</v>
      </c>
      <c r="P34" s="6">
        <f t="shared" si="93"/>
        <v>4.9753618361816521E-2</v>
      </c>
      <c r="Q34" s="27">
        <f t="shared" si="94"/>
        <v>4.5325899842291684E-2</v>
      </c>
      <c r="R34" s="2">
        <v>0</v>
      </c>
      <c r="S34" s="26">
        <v>58723288</v>
      </c>
      <c r="T34" s="26">
        <v>732201</v>
      </c>
      <c r="U34" s="26">
        <v>64442</v>
      </c>
      <c r="V34" s="26">
        <v>12591</v>
      </c>
      <c r="W34" s="26">
        <v>23317</v>
      </c>
      <c r="X34" s="26">
        <v>0</v>
      </c>
      <c r="Y34" s="26">
        <v>23575.119999999999</v>
      </c>
      <c r="Z34" s="26">
        <f t="shared" si="96"/>
        <v>450794.17999999993</v>
      </c>
      <c r="AA34" s="4">
        <f t="shared" si="97"/>
        <v>6.0105790097658672E-3</v>
      </c>
      <c r="AB34" s="2">
        <v>53485639.5</v>
      </c>
      <c r="AC34" s="4">
        <f t="shared" si="98"/>
        <v>0.78367237362637365</v>
      </c>
      <c r="AD34" s="25">
        <f t="shared" si="4"/>
        <v>44081571.016483516</v>
      </c>
      <c r="AE34" s="2">
        <f t="shared" si="32"/>
        <v>6000000</v>
      </c>
      <c r="AF34" s="8">
        <f t="shared" si="5"/>
        <v>1</v>
      </c>
      <c r="AG34" s="2">
        <f t="shared" si="6"/>
        <v>750000</v>
      </c>
      <c r="AH34" s="8">
        <f t="shared" si="99"/>
        <v>1</v>
      </c>
      <c r="AI34" s="8">
        <f t="shared" si="0"/>
        <v>0.89397076584475388</v>
      </c>
      <c r="AJ34" s="2">
        <f t="shared" si="38"/>
        <v>534856.39500000002</v>
      </c>
      <c r="AK34" s="4">
        <f t="shared" si="1"/>
        <v>0.11496894181369369</v>
      </c>
      <c r="AL34" s="4">
        <f t="shared" si="9"/>
        <v>0.98151397715422373</v>
      </c>
      <c r="AM34" s="4">
        <f t="shared" si="10"/>
        <v>1.2238168877503926E-2</v>
      </c>
      <c r="AN34" s="4">
        <f t="shared" si="11"/>
        <v>1.0770977898201558E-3</v>
      </c>
      <c r="AO34" s="4">
        <f t="shared" si="12"/>
        <v>2.1044874882259371E-4</v>
      </c>
      <c r="AP34" s="4">
        <f t="shared" si="13"/>
        <v>3.8972547663381916E-4</v>
      </c>
      <c r="AQ34" s="4">
        <f t="shared" si="14"/>
        <v>0</v>
      </c>
      <c r="AR34" s="4">
        <f t="shared" si="15"/>
        <v>3.9403975119867407E-4</v>
      </c>
    </row>
    <row r="35" spans="1:44" x14ac:dyDescent="0.25">
      <c r="A35">
        <f t="shared" si="26"/>
        <v>31</v>
      </c>
      <c r="B35" s="3">
        <f t="shared" si="90"/>
        <v>42809</v>
      </c>
      <c r="C35">
        <v>2403</v>
      </c>
      <c r="D35" s="2">
        <v>59464500.979999997</v>
      </c>
      <c r="E35" s="8">
        <f t="shared" si="18"/>
        <v>0.7928586864555125</v>
      </c>
      <c r="F35" s="1">
        <v>131830.57999999999</v>
      </c>
      <c r="G35" s="1"/>
      <c r="H35" s="1"/>
      <c r="I35" s="1"/>
      <c r="J35" s="1"/>
      <c r="K35" s="1"/>
      <c r="L35" s="1"/>
      <c r="M35" s="6">
        <f t="shared" si="2"/>
        <v>2.2034453671318276E-3</v>
      </c>
      <c r="N35" s="6">
        <f t="shared" si="91"/>
        <v>2.612324504318575E-2</v>
      </c>
      <c r="O35" s="6">
        <f t="shared" si="92"/>
        <v>4.1737075615101461E-2</v>
      </c>
      <c r="P35" s="6">
        <f t="shared" si="93"/>
        <v>4.6861184532781132E-2</v>
      </c>
      <c r="Q35" s="27">
        <f t="shared" si="94"/>
        <v>4.4421226233539328E-2</v>
      </c>
      <c r="R35" s="2">
        <v>0</v>
      </c>
      <c r="S35" s="26">
        <v>57786139.289999999</v>
      </c>
      <c r="T35" s="26">
        <v>1099154.1200000001</v>
      </c>
      <c r="U35" s="26">
        <v>205402.89</v>
      </c>
      <c r="V35" s="26">
        <v>64442.27</v>
      </c>
      <c r="W35" s="26">
        <v>12590.89</v>
      </c>
      <c r="X35" s="26">
        <v>23316.66</v>
      </c>
      <c r="Y35" s="26">
        <v>0</v>
      </c>
      <c r="Z35" s="26">
        <f t="shared" si="96"/>
        <v>450794.17999999993</v>
      </c>
      <c r="AA35" s="4">
        <f t="shared" si="97"/>
        <v>6.0105790097658672E-3</v>
      </c>
      <c r="AB35" s="2">
        <v>53204953.039999999</v>
      </c>
      <c r="AC35" s="4">
        <f t="shared" si="98"/>
        <v>0.77955975150183154</v>
      </c>
      <c r="AD35" s="25">
        <f t="shared" si="4"/>
        <v>43850236.021978021</v>
      </c>
      <c r="AE35" s="2">
        <f t="shared" si="32"/>
        <v>6000000</v>
      </c>
      <c r="AF35" s="8">
        <f t="shared" si="5"/>
        <v>1</v>
      </c>
      <c r="AG35" s="2">
        <f t="shared" si="6"/>
        <v>750000</v>
      </c>
      <c r="AH35" s="8">
        <f t="shared" si="99"/>
        <v>1</v>
      </c>
      <c r="AI35" s="8">
        <f t="shared" si="0"/>
        <v>0.89473471000613791</v>
      </c>
      <c r="AJ35" s="2">
        <f t="shared" si="38"/>
        <v>532049.53040000005</v>
      </c>
      <c r="AK35" s="4">
        <f t="shared" si="1"/>
        <v>0.1142126370939235</v>
      </c>
      <c r="AL35" s="4">
        <f t="shared" si="9"/>
        <v>0.97177540108232829</v>
      </c>
      <c r="AM35" s="4">
        <f t="shared" si="10"/>
        <v>1.8484206575107461E-2</v>
      </c>
      <c r="AN35" s="4">
        <f t="shared" si="11"/>
        <v>3.4542102702431526E-3</v>
      </c>
      <c r="AO35" s="4">
        <f t="shared" si="12"/>
        <v>1.0837099267287924E-3</v>
      </c>
      <c r="AP35" s="4">
        <f t="shared" si="13"/>
        <v>2.1173792418160137E-4</v>
      </c>
      <c r="AQ35" s="4">
        <f t="shared" si="14"/>
        <v>3.9211058052672824E-4</v>
      </c>
      <c r="AR35" s="4">
        <f t="shared" si="15"/>
        <v>0</v>
      </c>
    </row>
    <row r="36" spans="1:44" x14ac:dyDescent="0.25">
      <c r="A36">
        <f t="shared" si="26"/>
        <v>32</v>
      </c>
      <c r="B36" s="3">
        <f t="shared" si="90"/>
        <v>42840</v>
      </c>
      <c r="C36">
        <v>2392</v>
      </c>
      <c r="D36" s="2">
        <v>59008134.329999998</v>
      </c>
      <c r="E36" s="8">
        <f t="shared" si="18"/>
        <v>0.78677380797006458</v>
      </c>
      <c r="F36" s="1">
        <v>228887.75</v>
      </c>
      <c r="G36" s="1"/>
      <c r="H36" s="1"/>
      <c r="I36" s="1"/>
      <c r="J36" s="1"/>
      <c r="K36" s="1"/>
      <c r="L36" s="1"/>
      <c r="M36" s="6">
        <f t="shared" si="2"/>
        <v>3.8491494291187779E-3</v>
      </c>
      <c r="N36" s="6">
        <f t="shared" si="91"/>
        <v>4.5224378707677815E-2</v>
      </c>
      <c r="O36" s="6">
        <f t="shared" si="92"/>
        <v>3.7087034812432328E-2</v>
      </c>
      <c r="P36" s="6">
        <f t="shared" si="93"/>
        <v>4.7104093768865783E-2</v>
      </c>
      <c r="Q36" s="27">
        <f t="shared" si="94"/>
        <v>4.4571741944512168E-2</v>
      </c>
      <c r="R36" s="2">
        <v>0</v>
      </c>
      <c r="S36" s="26">
        <v>57724363.659999996</v>
      </c>
      <c r="T36" s="26">
        <v>645945.65</v>
      </c>
      <c r="U36" s="26">
        <v>307809.01</v>
      </c>
      <c r="V36" s="26">
        <v>33244.49</v>
      </c>
      <c r="W36" s="26">
        <v>0</v>
      </c>
      <c r="X36" s="26">
        <v>0</v>
      </c>
      <c r="Y36" s="26">
        <v>23316.66</v>
      </c>
      <c r="Z36" s="26">
        <f t="shared" si="96"/>
        <v>474110.83999999991</v>
      </c>
      <c r="AA36" s="4">
        <f t="shared" si="97"/>
        <v>6.3214672895875968E-3</v>
      </c>
      <c r="AB36" s="2">
        <v>52794065.950000003</v>
      </c>
      <c r="AC36" s="4">
        <f t="shared" si="98"/>
        <v>0.7735394278388279</v>
      </c>
      <c r="AD36" s="25">
        <f t="shared" si="4"/>
        <v>43511592.815934069</v>
      </c>
      <c r="AE36" s="2">
        <f t="shared" si="32"/>
        <v>6000000</v>
      </c>
      <c r="AF36" s="8">
        <f t="shared" si="5"/>
        <v>1</v>
      </c>
      <c r="AG36" s="2">
        <f t="shared" si="6"/>
        <v>750000</v>
      </c>
      <c r="AH36" s="8">
        <f t="shared" si="99"/>
        <v>1</v>
      </c>
      <c r="AI36" s="8">
        <f t="shared" ref="AI36:AI60" si="100">+AB36/D36</f>
        <v>0.89469132602552504</v>
      </c>
      <c r="AJ36" s="2">
        <f t="shared" si="38"/>
        <v>527940.65950000007</v>
      </c>
      <c r="AK36" s="4">
        <f t="shared" ref="AK36:AK60" si="101">((+D36+AJ36)-AB36)/D36</f>
        <v>0.1142555872347303</v>
      </c>
      <c r="AL36" s="4">
        <f t="shared" si="9"/>
        <v>0.97824417456039914</v>
      </c>
      <c r="AM36" s="4">
        <f t="shared" si="10"/>
        <v>1.0946722131351954E-2</v>
      </c>
      <c r="AN36" s="4">
        <f t="shared" si="11"/>
        <v>5.2163826817264508E-3</v>
      </c>
      <c r="AO36" s="4">
        <f t="shared" si="12"/>
        <v>5.6338825786427806E-4</v>
      </c>
      <c r="AP36" s="4">
        <f t="shared" si="13"/>
        <v>0</v>
      </c>
      <c r="AQ36" s="4">
        <f t="shared" si="14"/>
        <v>0</v>
      </c>
      <c r="AR36" s="4">
        <f t="shared" si="15"/>
        <v>3.9514314873272832E-4</v>
      </c>
    </row>
    <row r="37" spans="1:44" x14ac:dyDescent="0.25">
      <c r="A37">
        <f t="shared" si="26"/>
        <v>33</v>
      </c>
      <c r="B37" s="3">
        <f t="shared" si="90"/>
        <v>42870</v>
      </c>
      <c r="C37">
        <v>2382</v>
      </c>
      <c r="D37" s="2">
        <v>58664801.200000003</v>
      </c>
      <c r="E37" s="8">
        <f t="shared" si="18"/>
        <v>0.78219604056291836</v>
      </c>
      <c r="F37" s="1">
        <v>124111.15</v>
      </c>
      <c r="G37" s="1"/>
      <c r="H37" s="1"/>
      <c r="I37" s="1"/>
      <c r="J37" s="1"/>
      <c r="K37" s="1"/>
      <c r="L37" s="1"/>
      <c r="M37" s="6">
        <f t="shared" ref="M37:M58" si="102">+F37/D36</f>
        <v>2.1032888331278987E-3</v>
      </c>
      <c r="N37" s="6">
        <f t="shared" si="91"/>
        <v>2.4949530971847933E-2</v>
      </c>
      <c r="O37" s="6">
        <f t="shared" si="92"/>
        <v>3.2099051574237168E-2</v>
      </c>
      <c r="P37" s="6">
        <f t="shared" si="93"/>
        <v>3.9489132388879022E-2</v>
      </c>
      <c r="Q37" s="27">
        <f t="shared" si="94"/>
        <v>4.3804311966819172E-2</v>
      </c>
      <c r="R37" s="2">
        <v>0</v>
      </c>
      <c r="S37" s="26">
        <v>57021599.310000002</v>
      </c>
      <c r="T37" s="26">
        <v>1036481.85</v>
      </c>
      <c r="U37" s="26">
        <v>217338.65</v>
      </c>
      <c r="V37" s="26">
        <v>116184.99</v>
      </c>
      <c r="W37" s="26">
        <v>0</v>
      </c>
      <c r="X37" s="26">
        <v>0</v>
      </c>
      <c r="Y37" s="26">
        <v>0</v>
      </c>
      <c r="Z37" s="26">
        <f t="shared" si="96"/>
        <v>474110.83999999991</v>
      </c>
      <c r="AA37" s="4">
        <f t="shared" si="97"/>
        <v>6.3214672895875968E-3</v>
      </c>
      <c r="AB37" s="2">
        <v>52517801.560000002</v>
      </c>
      <c r="AC37" s="4">
        <f t="shared" si="98"/>
        <v>0.76949159794871802</v>
      </c>
      <c r="AD37" s="25">
        <f t="shared" si="4"/>
        <v>43283902.384615384</v>
      </c>
      <c r="AE37" s="2">
        <f t="shared" si="32"/>
        <v>6000000</v>
      </c>
      <c r="AF37" s="8">
        <f t="shared" si="5"/>
        <v>1</v>
      </c>
      <c r="AG37" s="2">
        <f t="shared" si="6"/>
        <v>750000</v>
      </c>
      <c r="AH37" s="8">
        <f t="shared" si="99"/>
        <v>1</v>
      </c>
      <c r="AI37" s="8">
        <f t="shared" si="100"/>
        <v>0.89521826522442893</v>
      </c>
      <c r="AJ37" s="2">
        <f t="shared" si="38"/>
        <v>525178.01560000004</v>
      </c>
      <c r="AK37" s="4">
        <f t="shared" si="101"/>
        <v>0.11373391742781536</v>
      </c>
      <c r="AL37" s="4">
        <f t="shared" ref="AL37:AL57" si="103">+S37/$D37</f>
        <v>0.97198998622022093</v>
      </c>
      <c r="AM37" s="4">
        <f t="shared" ref="AM37:AM57" si="104">+T37/$D37</f>
        <v>1.7667866059350081E-2</v>
      </c>
      <c r="AN37" s="4">
        <f t="shared" ref="AN37:AN57" si="105">+U37/$D37</f>
        <v>3.7047538822990163E-3</v>
      </c>
      <c r="AO37" s="4">
        <f t="shared" ref="AO37:AO57" si="106">+V37/$D37</f>
        <v>1.9804889409563019E-3</v>
      </c>
      <c r="AP37" s="4">
        <f t="shared" ref="AP37:AP57" si="107">+W37/$D37</f>
        <v>0</v>
      </c>
      <c r="AQ37" s="4">
        <f t="shared" ref="AQ37:AQ57" si="108">+X37/$D37</f>
        <v>0</v>
      </c>
      <c r="AR37" s="4">
        <f t="shared" ref="AR37:AR57" si="109">+Y37/$D37</f>
        <v>0</v>
      </c>
    </row>
    <row r="38" spans="1:44" x14ac:dyDescent="0.25">
      <c r="A38">
        <f t="shared" si="26"/>
        <v>34</v>
      </c>
      <c r="B38" s="3">
        <f t="shared" si="90"/>
        <v>42901</v>
      </c>
      <c r="C38">
        <v>2372</v>
      </c>
      <c r="D38" s="2">
        <v>58250782.409999996</v>
      </c>
      <c r="E38" s="8">
        <f t="shared" si="18"/>
        <v>0.77667579926605268</v>
      </c>
      <c r="F38" s="1">
        <v>172628.96</v>
      </c>
      <c r="G38" s="1"/>
      <c r="H38" s="1"/>
      <c r="I38" s="1"/>
      <c r="J38" s="1"/>
      <c r="K38" s="1"/>
      <c r="L38" s="1"/>
      <c r="M38" s="6">
        <f t="shared" si="102"/>
        <v>2.942632659939875E-3</v>
      </c>
      <c r="N38" s="6">
        <f t="shared" si="91"/>
        <v>3.4745660950989965E-2</v>
      </c>
      <c r="O38" s="6">
        <f t="shared" si="92"/>
        <v>3.4973190210171902E-2</v>
      </c>
      <c r="P38" s="6">
        <f t="shared" si="93"/>
        <v>3.8355132912636682E-2</v>
      </c>
      <c r="Q38" s="27">
        <f t="shared" si="94"/>
        <v>4.1913238639804201E-2</v>
      </c>
      <c r="R38" s="2">
        <v>0</v>
      </c>
      <c r="S38" s="26">
        <v>56668740.539999999</v>
      </c>
      <c r="T38" s="26">
        <v>990386.42</v>
      </c>
      <c r="U38" s="26">
        <v>264103</v>
      </c>
      <c r="V38" s="26">
        <v>54356.05</v>
      </c>
      <c r="W38" s="26">
        <v>0</v>
      </c>
      <c r="X38" s="26">
        <v>0</v>
      </c>
      <c r="Y38" s="26">
        <v>0</v>
      </c>
      <c r="Z38" s="26">
        <f t="shared" si="96"/>
        <v>474110.83999999991</v>
      </c>
      <c r="AA38" s="4">
        <f t="shared" si="97"/>
        <v>6.3214672895875968E-3</v>
      </c>
      <c r="AB38" s="2">
        <v>52152381.399999999</v>
      </c>
      <c r="AC38" s="4">
        <f t="shared" si="98"/>
        <v>0.76413745641025643</v>
      </c>
      <c r="AD38" s="25">
        <f t="shared" si="4"/>
        <v>42982731.92307692</v>
      </c>
      <c r="AE38" s="2">
        <f t="shared" si="32"/>
        <v>6000000</v>
      </c>
      <c r="AF38" s="8">
        <f t="shared" si="5"/>
        <v>1</v>
      </c>
      <c r="AG38" s="2">
        <f t="shared" si="6"/>
        <v>750000</v>
      </c>
      <c r="AH38" s="8">
        <f t="shared" si="99"/>
        <v>1</v>
      </c>
      <c r="AI38" s="8">
        <f t="shared" si="100"/>
        <v>0.89530782664726793</v>
      </c>
      <c r="AJ38" s="2">
        <f t="shared" si="38"/>
        <v>521523.81400000001</v>
      </c>
      <c r="AK38" s="4">
        <f t="shared" si="101"/>
        <v>0.11364525161920484</v>
      </c>
      <c r="AL38" s="4">
        <f t="shared" si="103"/>
        <v>0.97284084771832346</v>
      </c>
      <c r="AM38" s="4">
        <f t="shared" si="104"/>
        <v>1.7002113603026541E-2</v>
      </c>
      <c r="AN38" s="4">
        <f t="shared" si="105"/>
        <v>4.5338961825628814E-3</v>
      </c>
      <c r="AO38" s="4">
        <f t="shared" si="106"/>
        <v>9.3313853910859438E-4</v>
      </c>
      <c r="AP38" s="4">
        <f t="shared" si="107"/>
        <v>0</v>
      </c>
      <c r="AQ38" s="4">
        <f t="shared" si="108"/>
        <v>0</v>
      </c>
      <c r="AR38" s="4">
        <f t="shared" si="109"/>
        <v>0</v>
      </c>
    </row>
    <row r="39" spans="1:44" x14ac:dyDescent="0.25">
      <c r="A39">
        <f t="shared" si="26"/>
        <v>35</v>
      </c>
      <c r="B39" s="3">
        <f t="shared" si="90"/>
        <v>42931</v>
      </c>
      <c r="C39">
        <v>2362</v>
      </c>
      <c r="D39" s="2">
        <v>57789847</v>
      </c>
      <c r="E39" s="8">
        <f t="shared" si="18"/>
        <v>0.77053000408253058</v>
      </c>
      <c r="F39" s="1">
        <v>279059.67</v>
      </c>
      <c r="G39" s="1"/>
      <c r="H39" s="1"/>
      <c r="I39" s="1"/>
      <c r="J39" s="1"/>
      <c r="K39" s="1"/>
      <c r="L39" s="1"/>
      <c r="M39" s="6">
        <f t="shared" si="102"/>
        <v>4.7906596006870696E-3</v>
      </c>
      <c r="N39" s="6">
        <f t="shared" si="91"/>
        <v>5.599711726966361E-2</v>
      </c>
      <c r="O39" s="6">
        <f t="shared" si="92"/>
        <v>3.8564103064167167E-2</v>
      </c>
      <c r="P39" s="6">
        <f t="shared" si="93"/>
        <v>3.7825568938299747E-2</v>
      </c>
      <c r="Q39" s="27">
        <f t="shared" si="94"/>
        <v>4.4327334331870159E-2</v>
      </c>
      <c r="R39" s="2">
        <v>1282115.8600000001</v>
      </c>
      <c r="S39" s="26">
        <v>56082471.759999998</v>
      </c>
      <c r="T39" s="26">
        <v>1104978.6100000001</v>
      </c>
      <c r="U39" s="26">
        <v>284647</v>
      </c>
      <c r="V39" s="26">
        <v>81106.960000000006</v>
      </c>
      <c r="W39" s="26">
        <v>33061.99</v>
      </c>
      <c r="X39" s="26">
        <v>0</v>
      </c>
      <c r="Y39" s="26">
        <v>0</v>
      </c>
      <c r="Z39" s="26">
        <f t="shared" si="96"/>
        <v>474110.83999999991</v>
      </c>
      <c r="AA39" s="4">
        <f t="shared" si="97"/>
        <v>6.3214672895875968E-3</v>
      </c>
      <c r="AB39" s="2">
        <v>50682323</v>
      </c>
      <c r="AC39" s="4">
        <f t="shared" si="98"/>
        <v>0.7425981391941392</v>
      </c>
      <c r="AD39" s="25">
        <f t="shared" si="4"/>
        <v>41771145.329670325</v>
      </c>
      <c r="AE39" s="2">
        <f t="shared" si="32"/>
        <v>6000000</v>
      </c>
      <c r="AF39" s="8">
        <f t="shared" si="5"/>
        <v>1</v>
      </c>
      <c r="AG39" s="2">
        <f t="shared" si="6"/>
        <v>750000</v>
      </c>
      <c r="AH39" s="8">
        <f t="shared" si="99"/>
        <v>1</v>
      </c>
      <c r="AI39" s="8">
        <f t="shared" si="100"/>
        <v>0.87701085278872604</v>
      </c>
      <c r="AJ39" s="2">
        <f t="shared" si="38"/>
        <v>506823.23000000004</v>
      </c>
      <c r="AK39" s="4">
        <f t="shared" si="101"/>
        <v>0.1317592557391612</v>
      </c>
      <c r="AL39" s="4">
        <f t="shared" si="103"/>
        <v>0.97045544626550051</v>
      </c>
      <c r="AM39" s="4">
        <f t="shared" si="104"/>
        <v>1.9120635671522026E-2</v>
      </c>
      <c r="AN39" s="4">
        <f t="shared" si="105"/>
        <v>4.9255537914817456E-3</v>
      </c>
      <c r="AO39" s="4">
        <f t="shared" si="106"/>
        <v>1.4034811339784306E-3</v>
      </c>
      <c r="AP39" s="4">
        <f t="shared" si="107"/>
        <v>5.7210724229811503E-4</v>
      </c>
      <c r="AQ39" s="4">
        <f t="shared" si="108"/>
        <v>0</v>
      </c>
      <c r="AR39" s="4">
        <f t="shared" si="109"/>
        <v>0</v>
      </c>
    </row>
    <row r="40" spans="1:44" x14ac:dyDescent="0.25">
      <c r="A40">
        <f t="shared" si="26"/>
        <v>36</v>
      </c>
      <c r="B40" s="3">
        <f t="shared" si="90"/>
        <v>42962</v>
      </c>
      <c r="C40">
        <v>2353</v>
      </c>
      <c r="D40" s="2">
        <v>57360565.710000001</v>
      </c>
      <c r="E40" s="8">
        <f t="shared" si="18"/>
        <v>0.76480626312616062</v>
      </c>
      <c r="F40" s="1">
        <v>237792</v>
      </c>
      <c r="G40" s="1"/>
      <c r="H40" s="1"/>
      <c r="I40" s="1"/>
      <c r="J40" s="1"/>
      <c r="K40" s="1"/>
      <c r="L40" s="1"/>
      <c r="M40" s="6">
        <f t="shared" si="102"/>
        <v>4.114771233085286E-3</v>
      </c>
      <c r="N40" s="6">
        <f t="shared" si="91"/>
        <v>4.8274972325169974E-2</v>
      </c>
      <c r="O40" s="6">
        <f t="shared" si="92"/>
        <v>4.6339250181941183E-2</v>
      </c>
      <c r="P40" s="6">
        <f t="shared" si="93"/>
        <v>3.9219150878089172E-2</v>
      </c>
      <c r="Q40" s="27">
        <f t="shared" si="94"/>
        <v>4.448638461995285E-2</v>
      </c>
      <c r="R40" s="2">
        <v>0</v>
      </c>
      <c r="S40" s="26">
        <v>56185522.079999998</v>
      </c>
      <c r="T40" s="26">
        <v>662499.21</v>
      </c>
      <c r="U40" s="26">
        <v>220924.14</v>
      </c>
      <c r="V40" s="26">
        <v>63624.12</v>
      </c>
      <c r="W40" s="26">
        <v>24415.48</v>
      </c>
      <c r="X40" s="26">
        <v>0</v>
      </c>
      <c r="Y40" s="26">
        <v>0</v>
      </c>
      <c r="Z40" s="26">
        <f t="shared" si="96"/>
        <v>474110.83999999991</v>
      </c>
      <c r="AA40" s="4">
        <f t="shared" si="97"/>
        <v>6.3214672895875968E-3</v>
      </c>
      <c r="AB40" s="2">
        <v>50310477.560000002</v>
      </c>
      <c r="AC40" s="4">
        <f t="shared" si="98"/>
        <v>0.7371498543589744</v>
      </c>
      <c r="AD40" s="25">
        <f t="shared" si="4"/>
        <v>41464679.307692304</v>
      </c>
      <c r="AE40" s="2">
        <f t="shared" si="32"/>
        <v>6000000</v>
      </c>
      <c r="AF40" s="8">
        <f t="shared" si="5"/>
        <v>1</v>
      </c>
      <c r="AG40" s="2">
        <f t="shared" si="6"/>
        <v>750000</v>
      </c>
      <c r="AH40" s="8">
        <f t="shared" si="99"/>
        <v>1</v>
      </c>
      <c r="AI40" s="8">
        <f t="shared" si="100"/>
        <v>0.87709172560041693</v>
      </c>
      <c r="AJ40" s="2">
        <f t="shared" si="38"/>
        <v>503104.77560000005</v>
      </c>
      <c r="AK40" s="4">
        <f t="shared" si="101"/>
        <v>0.13167919165558731</v>
      </c>
      <c r="AL40" s="4">
        <f t="shared" si="103"/>
        <v>0.97951478310132578</v>
      </c>
      <c r="AM40" s="4">
        <f t="shared" si="104"/>
        <v>1.1549732848686021E-2</v>
      </c>
      <c r="AN40" s="4">
        <f t="shared" si="105"/>
        <v>3.8514986256749039E-3</v>
      </c>
      <c r="AO40" s="4">
        <f t="shared" si="106"/>
        <v>1.1091961735814617E-3</v>
      </c>
      <c r="AP40" s="4">
        <f t="shared" si="107"/>
        <v>4.2564921907218059E-4</v>
      </c>
      <c r="AQ40" s="4">
        <f t="shared" si="108"/>
        <v>0</v>
      </c>
      <c r="AR40" s="4">
        <f t="shared" si="109"/>
        <v>0</v>
      </c>
    </row>
    <row r="41" spans="1:44" x14ac:dyDescent="0.25">
      <c r="A41">
        <f t="shared" si="26"/>
        <v>37</v>
      </c>
      <c r="B41" s="3">
        <f t="shared" si="90"/>
        <v>42993</v>
      </c>
      <c r="C41">
        <v>2344</v>
      </c>
      <c r="D41" s="2">
        <v>56994710.090000004</v>
      </c>
      <c r="E41" s="8">
        <f t="shared" si="18"/>
        <v>0.75992819635480868</v>
      </c>
      <c r="F41" s="1">
        <v>151679.18</v>
      </c>
      <c r="G41" s="1"/>
      <c r="H41" s="1"/>
      <c r="I41" s="1"/>
      <c r="J41" s="1"/>
      <c r="K41" s="1"/>
      <c r="L41" s="1"/>
      <c r="M41" s="6">
        <f t="shared" si="102"/>
        <v>2.6443110893788987E-3</v>
      </c>
      <c r="N41" s="6">
        <f t="shared" si="91"/>
        <v>3.1274279624145862E-2</v>
      </c>
      <c r="O41" s="6">
        <f t="shared" si="92"/>
        <v>4.5182123072993151E-2</v>
      </c>
      <c r="P41" s="6">
        <f t="shared" si="93"/>
        <v>4.0077656641582526E-2</v>
      </c>
      <c r="Q41" s="27">
        <f t="shared" si="94"/>
        <v>4.3469420587181833E-2</v>
      </c>
      <c r="R41" s="2">
        <v>0</v>
      </c>
      <c r="S41" s="26">
        <v>55924737.880000003</v>
      </c>
      <c r="T41" s="26">
        <v>670052.5</v>
      </c>
      <c r="U41" s="26">
        <v>100031.6</v>
      </c>
      <c r="V41" s="26">
        <v>72295.990000000005</v>
      </c>
      <c r="W41" s="26">
        <v>24011.439999999999</v>
      </c>
      <c r="X41" s="26">
        <v>0</v>
      </c>
      <c r="Y41" s="26">
        <v>0</v>
      </c>
      <c r="Z41" s="26">
        <f t="shared" si="96"/>
        <v>474110.83999999991</v>
      </c>
      <c r="AA41" s="4">
        <f t="shared" si="97"/>
        <v>6.3214672895875968E-3</v>
      </c>
      <c r="AB41" s="2">
        <v>49987845.75</v>
      </c>
      <c r="AC41" s="4">
        <f t="shared" si="98"/>
        <v>0.73242264835164839</v>
      </c>
      <c r="AD41" s="25">
        <f t="shared" si="4"/>
        <v>41198773.969780214</v>
      </c>
      <c r="AE41" s="2">
        <f t="shared" si="32"/>
        <v>6000000</v>
      </c>
      <c r="AF41" s="8">
        <f t="shared" si="5"/>
        <v>1</v>
      </c>
      <c r="AG41" s="2">
        <f t="shared" si="6"/>
        <v>750000</v>
      </c>
      <c r="AH41" s="8">
        <f t="shared" si="99"/>
        <v>1</v>
      </c>
      <c r="AI41" s="8">
        <f t="shared" si="100"/>
        <v>0.87706114604433449</v>
      </c>
      <c r="AJ41" s="2">
        <f t="shared" si="38"/>
        <v>499878.45750000002</v>
      </c>
      <c r="AK41" s="4">
        <f t="shared" si="101"/>
        <v>0.13170946541610887</v>
      </c>
      <c r="AL41" s="4">
        <f t="shared" si="103"/>
        <v>0.9812268154656737</v>
      </c>
      <c r="AM41" s="4">
        <f t="shared" si="104"/>
        <v>1.1756398075223546E-2</v>
      </c>
      <c r="AN41" s="4">
        <f t="shared" si="105"/>
        <v>1.7551032340026066E-3</v>
      </c>
      <c r="AO41" s="4">
        <f t="shared" si="106"/>
        <v>1.268468422522684E-3</v>
      </c>
      <c r="AP41" s="4">
        <f t="shared" si="107"/>
        <v>4.2129243156222181E-4</v>
      </c>
      <c r="AQ41" s="4">
        <f t="shared" si="108"/>
        <v>0</v>
      </c>
      <c r="AR41" s="4">
        <f t="shared" si="109"/>
        <v>0</v>
      </c>
    </row>
    <row r="42" spans="1:44" x14ac:dyDescent="0.25">
      <c r="A42">
        <f t="shared" si="26"/>
        <v>38</v>
      </c>
      <c r="B42" s="3">
        <f t="shared" si="90"/>
        <v>43023</v>
      </c>
      <c r="C42">
        <v>2331</v>
      </c>
      <c r="D42" s="2">
        <v>56484476.710000001</v>
      </c>
      <c r="E42" s="8">
        <f t="shared" si="18"/>
        <v>0.75312509600442279</v>
      </c>
      <c r="F42" s="1">
        <v>296652.89</v>
      </c>
      <c r="G42" s="1"/>
      <c r="H42" s="1"/>
      <c r="I42" s="1"/>
      <c r="J42" s="1"/>
      <c r="K42" s="1"/>
      <c r="L42" s="1"/>
      <c r="M42" s="6">
        <f t="shared" si="102"/>
        <v>5.2049197115233538E-3</v>
      </c>
      <c r="N42" s="6">
        <f t="shared" si="91"/>
        <v>6.0701679403681763E-2</v>
      </c>
      <c r="O42" s="6">
        <f t="shared" si="92"/>
        <v>4.67503104509992E-2</v>
      </c>
      <c r="P42" s="6">
        <f t="shared" si="93"/>
        <v>4.2657206757583187E-2</v>
      </c>
      <c r="Q42" s="27">
        <f t="shared" si="94"/>
        <v>4.4880650263224485E-2</v>
      </c>
      <c r="R42" s="2">
        <v>305170.74</v>
      </c>
      <c r="S42" s="26">
        <v>55523406.5</v>
      </c>
      <c r="T42" s="26">
        <v>545217.98</v>
      </c>
      <c r="U42" s="26">
        <v>195811.49</v>
      </c>
      <c r="V42" s="26">
        <v>47626.5</v>
      </c>
      <c r="W42" s="26">
        <v>29166.38</v>
      </c>
      <c r="X42" s="26">
        <v>0</v>
      </c>
      <c r="Y42" s="26">
        <v>0</v>
      </c>
      <c r="Z42" s="26">
        <f t="shared" si="96"/>
        <v>474110.83999999991</v>
      </c>
      <c r="AA42" s="4">
        <f t="shared" si="97"/>
        <v>6.3214672895875968E-3</v>
      </c>
      <c r="AB42" s="2">
        <v>49332024.280000001</v>
      </c>
      <c r="AC42" s="4">
        <f t="shared" si="98"/>
        <v>0.72281354256410257</v>
      </c>
      <c r="AD42" s="25">
        <f t="shared" si="4"/>
        <v>40658261.769230768</v>
      </c>
      <c r="AE42" s="2">
        <f t="shared" si="32"/>
        <v>6000000</v>
      </c>
      <c r="AF42" s="8">
        <f t="shared" si="5"/>
        <v>1</v>
      </c>
      <c r="AG42" s="2">
        <f t="shared" si="6"/>
        <v>750000</v>
      </c>
      <c r="AH42" s="8">
        <f t="shared" si="99"/>
        <v>1</v>
      </c>
      <c r="AI42" s="8">
        <f t="shared" si="100"/>
        <v>0.87337313105117731</v>
      </c>
      <c r="AJ42" s="2">
        <f t="shared" si="38"/>
        <v>493320.24280000001</v>
      </c>
      <c r="AK42" s="4">
        <f t="shared" si="101"/>
        <v>0.13536060025933444</v>
      </c>
      <c r="AL42" s="4">
        <f t="shared" si="103"/>
        <v>0.9829852330059764</v>
      </c>
      <c r="AM42" s="4">
        <f t="shared" si="104"/>
        <v>9.6525277696956104E-3</v>
      </c>
      <c r="AN42" s="4">
        <f t="shared" si="105"/>
        <v>3.4666425433190489E-3</v>
      </c>
      <c r="AO42" s="4">
        <f t="shared" si="106"/>
        <v>8.4317856469701905E-4</v>
      </c>
      <c r="AP42" s="4">
        <f t="shared" si="107"/>
        <v>5.1636098444789863E-4</v>
      </c>
      <c r="AQ42" s="4">
        <f t="shared" si="108"/>
        <v>0</v>
      </c>
      <c r="AR42" s="4">
        <f t="shared" si="109"/>
        <v>0</v>
      </c>
    </row>
    <row r="43" spans="1:44" x14ac:dyDescent="0.25">
      <c r="A43">
        <f t="shared" si="26"/>
        <v>39</v>
      </c>
      <c r="B43" s="3">
        <f t="shared" si="90"/>
        <v>43054</v>
      </c>
      <c r="C43">
        <v>2325</v>
      </c>
      <c r="D43" s="2">
        <v>56094364.799999997</v>
      </c>
      <c r="E43" s="8">
        <f t="shared" si="18"/>
        <v>0.74792361257421147</v>
      </c>
      <c r="F43" s="1">
        <v>68866.7</v>
      </c>
      <c r="G43" s="1"/>
      <c r="H43" s="1"/>
      <c r="I43" s="1"/>
      <c r="J43" s="1"/>
      <c r="K43" s="1"/>
      <c r="L43" s="1"/>
      <c r="M43" s="6">
        <f t="shared" si="102"/>
        <v>1.2192146234012618E-3</v>
      </c>
      <c r="N43" s="6">
        <f t="shared" si="91"/>
        <v>1.4532865141060225E-2</v>
      </c>
      <c r="O43" s="6">
        <f t="shared" si="92"/>
        <v>3.5502941389629283E-2</v>
      </c>
      <c r="P43" s="6">
        <f t="shared" si="93"/>
        <v>4.0921095785785233E-2</v>
      </c>
      <c r="Q43" s="27">
        <f t="shared" si="94"/>
        <v>4.0205114087332128E-2</v>
      </c>
      <c r="R43" s="2">
        <v>0</v>
      </c>
      <c r="S43" s="26">
        <v>54801155.520000003</v>
      </c>
      <c r="T43" s="26">
        <v>844423.34</v>
      </c>
      <c r="U43" s="26">
        <v>153180.07999999999</v>
      </c>
      <c r="V43" s="26">
        <v>167962.99</v>
      </c>
      <c r="W43" s="26">
        <v>0</v>
      </c>
      <c r="X43" s="26">
        <v>16575.490000000002</v>
      </c>
      <c r="Y43" s="26">
        <v>0</v>
      </c>
      <c r="Z43" s="26">
        <f t="shared" si="96"/>
        <v>474110.83999999991</v>
      </c>
      <c r="AA43" s="4">
        <f t="shared" si="97"/>
        <v>6.3214672895875968E-3</v>
      </c>
      <c r="AB43" s="2">
        <v>49006218.140000001</v>
      </c>
      <c r="AC43" s="4">
        <f t="shared" si="98"/>
        <v>0.71803982622710627</v>
      </c>
      <c r="AD43" s="25">
        <f t="shared" si="4"/>
        <v>40389740.225274727</v>
      </c>
      <c r="AE43" s="2">
        <f t="shared" si="32"/>
        <v>6000000</v>
      </c>
      <c r="AF43" s="8">
        <f t="shared" si="5"/>
        <v>1</v>
      </c>
      <c r="AG43" s="2">
        <f t="shared" si="6"/>
        <v>750000</v>
      </c>
      <c r="AH43" s="8">
        <f t="shared" si="99"/>
        <v>1</v>
      </c>
      <c r="AI43" s="8">
        <f t="shared" si="100"/>
        <v>0.87363888181509464</v>
      </c>
      <c r="AJ43" s="2">
        <f t="shared" si="38"/>
        <v>490062.1814</v>
      </c>
      <c r="AK43" s="4">
        <f t="shared" si="101"/>
        <v>0.13509750700305637</v>
      </c>
      <c r="AL43" s="4">
        <f t="shared" si="103"/>
        <v>0.97694582540312513</v>
      </c>
      <c r="AM43" s="4">
        <f t="shared" si="104"/>
        <v>1.5053621571627103E-2</v>
      </c>
      <c r="AN43" s="4">
        <f t="shared" si="105"/>
        <v>2.7307570117988036E-3</v>
      </c>
      <c r="AO43" s="4">
        <f t="shared" si="106"/>
        <v>2.9942934659989233E-3</v>
      </c>
      <c r="AP43" s="4">
        <f t="shared" si="107"/>
        <v>0</v>
      </c>
      <c r="AQ43" s="4">
        <f t="shared" si="108"/>
        <v>2.9549296188839278E-4</v>
      </c>
      <c r="AR43" s="4">
        <f t="shared" si="109"/>
        <v>0</v>
      </c>
    </row>
    <row r="44" spans="1:44" x14ac:dyDescent="0.25">
      <c r="A44">
        <f t="shared" si="26"/>
        <v>40</v>
      </c>
      <c r="B44" s="3">
        <f t="shared" si="90"/>
        <v>43084</v>
      </c>
      <c r="C44">
        <v>2317</v>
      </c>
      <c r="D44" s="2">
        <v>55742577.25</v>
      </c>
      <c r="E44" s="8">
        <f t="shared" si="18"/>
        <v>0.74323311975567741</v>
      </c>
      <c r="F44" s="1">
        <v>177640.48</v>
      </c>
      <c r="G44" s="1"/>
      <c r="H44" s="1"/>
      <c r="I44" s="1"/>
      <c r="J44" s="1"/>
      <c r="K44" s="1"/>
      <c r="L44" s="1"/>
      <c r="M44" s="6">
        <f t="shared" si="102"/>
        <v>3.1668150737309002E-3</v>
      </c>
      <c r="N44" s="6">
        <f t="shared" si="91"/>
        <v>3.7346822983215233E-2</v>
      </c>
      <c r="O44" s="6">
        <f t="shared" si="92"/>
        <v>3.7527122509319076E-2</v>
      </c>
      <c r="P44" s="6">
        <f t="shared" si="93"/>
        <v>4.1354622791156113E-2</v>
      </c>
      <c r="Q44" s="27">
        <f t="shared" si="94"/>
        <v>3.9854877851896398E-2</v>
      </c>
      <c r="R44" s="2">
        <v>0</v>
      </c>
      <c r="S44" s="26">
        <v>54515411.170000002</v>
      </c>
      <c r="T44" s="26">
        <v>691304.98</v>
      </c>
      <c r="U44" s="26">
        <v>22620.59</v>
      </c>
      <c r="V44" s="26">
        <v>95547.14</v>
      </c>
      <c r="W44" s="26">
        <v>90050.5</v>
      </c>
      <c r="X44" s="26">
        <v>0</v>
      </c>
      <c r="Y44" s="26">
        <v>16575.490000000002</v>
      </c>
      <c r="Z44" s="26">
        <f t="shared" si="96"/>
        <v>490686.3299999999</v>
      </c>
      <c r="AA44" s="4">
        <f t="shared" si="97"/>
        <v>6.5424734531334171E-3</v>
      </c>
      <c r="AB44" s="2">
        <v>48704827.560000002</v>
      </c>
      <c r="AC44" s="4">
        <f t="shared" si="98"/>
        <v>0.71362384703296711</v>
      </c>
      <c r="AD44" s="25">
        <f t="shared" si="4"/>
        <v>40141341.395604394</v>
      </c>
      <c r="AE44" s="2">
        <f t="shared" si="32"/>
        <v>6000000</v>
      </c>
      <c r="AF44" s="8">
        <f t="shared" si="5"/>
        <v>1</v>
      </c>
      <c r="AG44" s="2">
        <f t="shared" si="6"/>
        <v>750000</v>
      </c>
      <c r="AH44" s="8">
        <f t="shared" si="99"/>
        <v>1</v>
      </c>
      <c r="AI44" s="8">
        <f t="shared" si="100"/>
        <v>0.87374552743701861</v>
      </c>
      <c r="AJ44" s="2">
        <f t="shared" si="38"/>
        <v>487048.27560000005</v>
      </c>
      <c r="AK44" s="4">
        <f t="shared" si="101"/>
        <v>0.13499192783735164</v>
      </c>
      <c r="AL44" s="4">
        <f t="shared" si="103"/>
        <v>0.97798512123872061</v>
      </c>
      <c r="AM44" s="4">
        <f t="shared" si="104"/>
        <v>1.2401740538467836E-2</v>
      </c>
      <c r="AN44" s="4">
        <f t="shared" si="105"/>
        <v>4.0580452350720829E-4</v>
      </c>
      <c r="AO44" s="4">
        <f t="shared" si="106"/>
        <v>1.7140782632184448E-3</v>
      </c>
      <c r="AP44" s="4">
        <f t="shared" si="107"/>
        <v>1.615470694799997E-3</v>
      </c>
      <c r="AQ44" s="4">
        <f t="shared" si="108"/>
        <v>0</v>
      </c>
      <c r="AR44" s="4">
        <f t="shared" si="109"/>
        <v>2.9735779753527636E-4</v>
      </c>
    </row>
    <row r="45" spans="1:44" x14ac:dyDescent="0.25">
      <c r="A45">
        <f t="shared" si="26"/>
        <v>41</v>
      </c>
      <c r="B45" s="3">
        <f t="shared" si="90"/>
        <v>43115</v>
      </c>
      <c r="C45">
        <v>2309</v>
      </c>
      <c r="D45" s="2">
        <v>55387010.950000003</v>
      </c>
      <c r="E45" s="8">
        <f t="shared" si="18"/>
        <v>0.73849224368811128</v>
      </c>
      <c r="F45" s="1">
        <v>139753.1</v>
      </c>
      <c r="G45" s="1"/>
      <c r="H45" s="1"/>
      <c r="I45" s="1"/>
      <c r="J45" s="1"/>
      <c r="K45" s="1"/>
      <c r="L45" s="1"/>
      <c r="M45" s="6">
        <f t="shared" si="102"/>
        <v>2.5071158689563464E-3</v>
      </c>
      <c r="N45" s="6">
        <f t="shared" si="91"/>
        <v>2.967398630655449E-2</v>
      </c>
      <c r="O45" s="6">
        <f t="shared" si="92"/>
        <v>2.7184558143609983E-2</v>
      </c>
      <c r="P45" s="6">
        <f t="shared" si="93"/>
        <v>3.6967434297304591E-2</v>
      </c>
      <c r="Q45" s="27">
        <f t="shared" si="94"/>
        <v>3.7396501617802169E-2</v>
      </c>
      <c r="R45" s="2">
        <v>0</v>
      </c>
      <c r="S45" s="26">
        <v>54516823.990000002</v>
      </c>
      <c r="T45" s="26">
        <v>433647.59</v>
      </c>
      <c r="U45" s="26">
        <v>70856.11</v>
      </c>
      <c r="V45" s="26">
        <v>83464</v>
      </c>
      <c r="W45" s="26">
        <v>64525.89</v>
      </c>
      <c r="X45" s="26">
        <v>90050.5</v>
      </c>
      <c r="Y45" s="26">
        <v>0</v>
      </c>
      <c r="Z45" s="26">
        <f t="shared" si="96"/>
        <v>490686.3299999999</v>
      </c>
      <c r="AA45" s="4">
        <f t="shared" si="97"/>
        <v>6.5424734531334171E-3</v>
      </c>
      <c r="AB45" s="2">
        <v>48403971.009999998</v>
      </c>
      <c r="AC45" s="4">
        <f t="shared" si="98"/>
        <v>0.70921569245421245</v>
      </c>
      <c r="AD45" s="25">
        <f t="shared" si="4"/>
        <v>39893382.700549446</v>
      </c>
      <c r="AE45" s="2">
        <f t="shared" si="32"/>
        <v>6000000</v>
      </c>
      <c r="AF45" s="8">
        <f t="shared" si="5"/>
        <v>1</v>
      </c>
      <c r="AG45" s="2">
        <f t="shared" si="6"/>
        <v>750000</v>
      </c>
      <c r="AH45" s="8">
        <f t="shared" si="99"/>
        <v>1</v>
      </c>
      <c r="AI45" s="8">
        <f t="shared" si="100"/>
        <v>0.87392278766760201</v>
      </c>
      <c r="AJ45" s="2">
        <f t="shared" si="38"/>
        <v>484039.71009999997</v>
      </c>
      <c r="AK45" s="4">
        <f t="shared" si="101"/>
        <v>0.1348164402090741</v>
      </c>
      <c r="AL45" s="4">
        <f t="shared" si="103"/>
        <v>0.98428897055330256</v>
      </c>
      <c r="AM45" s="4">
        <f t="shared" si="104"/>
        <v>7.8294095052623518E-3</v>
      </c>
      <c r="AN45" s="4">
        <f t="shared" si="105"/>
        <v>1.2792910970401445E-3</v>
      </c>
      <c r="AO45" s="4">
        <f t="shared" si="106"/>
        <v>1.5069237095200205E-3</v>
      </c>
      <c r="AP45" s="4">
        <f t="shared" si="107"/>
        <v>1.1650004015968656E-3</v>
      </c>
      <c r="AQ45" s="4">
        <f t="shared" si="108"/>
        <v>1.6258414826048669E-3</v>
      </c>
      <c r="AR45" s="4">
        <f t="shared" si="109"/>
        <v>0</v>
      </c>
    </row>
    <row r="46" spans="1:44" x14ac:dyDescent="0.25">
      <c r="A46">
        <f t="shared" si="26"/>
        <v>42</v>
      </c>
      <c r="B46" s="3">
        <f t="shared" si="90"/>
        <v>43146</v>
      </c>
      <c r="C46">
        <v>2300</v>
      </c>
      <c r="D46" s="2">
        <v>54973603.600000001</v>
      </c>
      <c r="E46" s="8">
        <f t="shared" si="18"/>
        <v>0.73298015491093826</v>
      </c>
      <c r="F46" s="1">
        <v>149680.10999999999</v>
      </c>
      <c r="G46" s="1"/>
      <c r="H46" s="1"/>
      <c r="I46" s="1"/>
      <c r="J46" s="1"/>
      <c r="K46" s="1"/>
      <c r="L46" s="1"/>
      <c r="M46" s="6">
        <f t="shared" si="102"/>
        <v>2.7024406522879888E-3</v>
      </c>
      <c r="N46" s="6">
        <f t="shared" si="91"/>
        <v>3.1951593311627557E-2</v>
      </c>
      <c r="O46" s="6">
        <f t="shared" si="92"/>
        <v>3.2990800867132429E-2</v>
      </c>
      <c r="P46" s="6">
        <f t="shared" si="93"/>
        <v>3.4246871128380853E-2</v>
      </c>
      <c r="Q46" s="27">
        <f t="shared" si="94"/>
        <v>3.6733011003235012E-2</v>
      </c>
      <c r="R46" s="2">
        <v>0</v>
      </c>
      <c r="S46" s="26">
        <v>53890984.539999999</v>
      </c>
      <c r="T46" s="26">
        <v>552338.42000000004</v>
      </c>
      <c r="U46" s="26">
        <v>222599.64</v>
      </c>
      <c r="V46" s="26">
        <v>13466.65</v>
      </c>
      <c r="W46" s="26">
        <v>78869.440000000002</v>
      </c>
      <c r="X46" s="26">
        <v>47445.82</v>
      </c>
      <c r="Y46" s="26">
        <v>90050.5</v>
      </c>
      <c r="Z46" s="26">
        <f t="shared" si="96"/>
        <v>580736.82999999984</v>
      </c>
      <c r="AA46" s="4">
        <f t="shared" si="97"/>
        <v>7.74314477750349E-3</v>
      </c>
      <c r="AB46" s="2">
        <v>47985793.32</v>
      </c>
      <c r="AC46" s="4">
        <f t="shared" si="98"/>
        <v>0.70308854681318678</v>
      </c>
      <c r="AD46" s="25">
        <f t="shared" si="4"/>
        <v>39548730.758241758</v>
      </c>
      <c r="AE46" s="2">
        <f t="shared" si="32"/>
        <v>6000000</v>
      </c>
      <c r="AF46" s="8">
        <f t="shared" si="5"/>
        <v>1</v>
      </c>
      <c r="AG46" s="2">
        <f t="shared" si="6"/>
        <v>750000</v>
      </c>
      <c r="AH46" s="8">
        <f t="shared" si="99"/>
        <v>1</v>
      </c>
      <c r="AI46" s="8">
        <f t="shared" si="100"/>
        <v>0.87288789851135029</v>
      </c>
      <c r="AJ46" s="2">
        <f t="shared" si="38"/>
        <v>479857.93320000003</v>
      </c>
      <c r="AK46" s="4">
        <f t="shared" si="101"/>
        <v>0.13584098047376328</v>
      </c>
      <c r="AL46" s="4">
        <f t="shared" si="103"/>
        <v>0.98030656553138895</v>
      </c>
      <c r="AM46" s="4">
        <f t="shared" si="104"/>
        <v>1.0047338792249014E-2</v>
      </c>
      <c r="AN46" s="4">
        <f t="shared" si="105"/>
        <v>4.0492095373569435E-3</v>
      </c>
      <c r="AO46" s="4">
        <f t="shared" si="106"/>
        <v>2.4496574934374502E-4</v>
      </c>
      <c r="AP46" s="4">
        <f t="shared" si="107"/>
        <v>1.4346783698931463E-3</v>
      </c>
      <c r="AQ46" s="4">
        <f t="shared" si="108"/>
        <v>8.6306548766979505E-4</v>
      </c>
      <c r="AR46" s="4">
        <f t="shared" si="109"/>
        <v>1.6380679835949483E-3</v>
      </c>
    </row>
    <row r="47" spans="1:44" x14ac:dyDescent="0.25">
      <c r="A47">
        <f t="shared" si="26"/>
        <v>43</v>
      </c>
      <c r="B47" s="3">
        <f t="shared" si="90"/>
        <v>43174</v>
      </c>
      <c r="C47">
        <v>2290</v>
      </c>
      <c r="D47" s="2">
        <v>54635090.710000001</v>
      </c>
      <c r="E47" s="8">
        <f t="shared" si="18"/>
        <v>0.72846665726292248</v>
      </c>
      <c r="F47" s="1">
        <v>163628.57999999999</v>
      </c>
      <c r="G47" s="1"/>
      <c r="H47" s="1"/>
      <c r="I47" s="1"/>
      <c r="J47" s="1"/>
      <c r="K47" s="1"/>
      <c r="L47" s="1"/>
      <c r="M47" s="6">
        <f t="shared" si="102"/>
        <v>2.976493613018303E-3</v>
      </c>
      <c r="N47" s="6">
        <f t="shared" si="91"/>
        <v>3.5138958211754057E-2</v>
      </c>
      <c r="O47" s="6">
        <f t="shared" si="92"/>
        <v>3.2254845943312037E-2</v>
      </c>
      <c r="P47" s="6">
        <f t="shared" si="93"/>
        <v>3.4890984226315556E-2</v>
      </c>
      <c r="Q47" s="27">
        <f t="shared" si="94"/>
        <v>3.7484320433949038E-2</v>
      </c>
      <c r="R47" s="2">
        <v>0</v>
      </c>
      <c r="S47" s="26">
        <v>53652791.07</v>
      </c>
      <c r="T47" s="26">
        <v>506861.16</v>
      </c>
      <c r="U47" s="26">
        <v>94829.94</v>
      </c>
      <c r="V47" s="26">
        <v>86394.19</v>
      </c>
      <c r="W47" s="26">
        <v>17080.07</v>
      </c>
      <c r="X47" s="26">
        <v>61789.37</v>
      </c>
      <c r="Y47" s="26">
        <v>47445.82</v>
      </c>
      <c r="Z47" s="26">
        <f t="shared" si="96"/>
        <v>628182.64999999979</v>
      </c>
      <c r="AA47" s="4">
        <f t="shared" si="97"/>
        <v>8.3757546523539807E-3</v>
      </c>
      <c r="AB47" s="2">
        <v>47704703.030000001</v>
      </c>
      <c r="AC47" s="4">
        <f t="shared" si="98"/>
        <v>0.69897000776556784</v>
      </c>
      <c r="AD47" s="25">
        <f t="shared" si="4"/>
        <v>39317062.936813183</v>
      </c>
      <c r="AE47" s="2">
        <f t="shared" si="32"/>
        <v>6000000</v>
      </c>
      <c r="AF47" s="8">
        <f t="shared" si="5"/>
        <v>1</v>
      </c>
      <c r="AG47" s="2">
        <f t="shared" si="6"/>
        <v>750000</v>
      </c>
      <c r="AH47" s="8">
        <f t="shared" si="99"/>
        <v>1</v>
      </c>
      <c r="AI47" s="8">
        <f t="shared" si="100"/>
        <v>0.87315134669060757</v>
      </c>
      <c r="AJ47" s="2">
        <f t="shared" si="38"/>
        <v>477047.03030000004</v>
      </c>
      <c r="AK47" s="4">
        <f t="shared" si="101"/>
        <v>0.13558016677629853</v>
      </c>
      <c r="AL47" s="4">
        <f t="shared" si="103"/>
        <v>0.98202071915256828</v>
      </c>
      <c r="AM47" s="4">
        <f t="shared" si="104"/>
        <v>9.2772090869289586E-3</v>
      </c>
      <c r="AN47" s="4">
        <f t="shared" si="105"/>
        <v>1.7356965782916332E-3</v>
      </c>
      <c r="AO47" s="4">
        <f t="shared" si="106"/>
        <v>1.581294894495106E-3</v>
      </c>
      <c r="AP47" s="4">
        <f t="shared" si="107"/>
        <v>3.1262087749904277E-4</v>
      </c>
      <c r="AQ47" s="4">
        <f t="shared" si="108"/>
        <v>1.1309465985510029E-3</v>
      </c>
      <c r="AR47" s="4">
        <f t="shared" si="109"/>
        <v>8.6841294456414017E-4</v>
      </c>
    </row>
    <row r="48" spans="1:44" x14ac:dyDescent="0.25">
      <c r="A48">
        <f t="shared" si="26"/>
        <v>44</v>
      </c>
      <c r="B48" s="3">
        <f t="shared" si="90"/>
        <v>43205</v>
      </c>
      <c r="C48">
        <v>2275</v>
      </c>
      <c r="D48" s="2">
        <v>54160529.5</v>
      </c>
      <c r="E48" s="8">
        <f t="shared" si="18"/>
        <v>0.72213918505004893</v>
      </c>
      <c r="F48" s="1">
        <v>267185.14</v>
      </c>
      <c r="G48" s="1"/>
      <c r="H48" s="1"/>
      <c r="I48" s="1"/>
      <c r="J48" s="1"/>
      <c r="K48" s="1"/>
      <c r="L48" s="1"/>
      <c r="M48" s="6">
        <f t="shared" si="102"/>
        <v>4.8903577632588508E-3</v>
      </c>
      <c r="N48" s="6">
        <f t="shared" si="91"/>
        <v>5.7131312989970651E-2</v>
      </c>
      <c r="O48" s="6">
        <f t="shared" si="92"/>
        <v>4.1407288171117419E-2</v>
      </c>
      <c r="P48" s="6">
        <f t="shared" si="93"/>
        <v>3.4295923157363704E-2</v>
      </c>
      <c r="Q48" s="27">
        <f t="shared" si="94"/>
        <v>3.8476564957473446E-2</v>
      </c>
      <c r="R48" s="2">
        <v>435454.67</v>
      </c>
      <c r="S48" s="26">
        <v>52739132.600000001</v>
      </c>
      <c r="T48" s="26">
        <v>862638.39</v>
      </c>
      <c r="U48" s="26">
        <v>251103.11</v>
      </c>
      <c r="V48" s="26">
        <v>0</v>
      </c>
      <c r="W48" s="26">
        <v>30521.119999999999</v>
      </c>
      <c r="X48" s="26">
        <v>0</v>
      </c>
      <c r="Y48" s="26">
        <v>61789.37</v>
      </c>
      <c r="Z48" s="26">
        <f t="shared" si="96"/>
        <v>689972.01999999979</v>
      </c>
      <c r="AA48" s="4">
        <f t="shared" si="97"/>
        <v>9.199611540543301E-3</v>
      </c>
      <c r="AB48" s="2">
        <v>47062253.090000004</v>
      </c>
      <c r="AC48" s="4">
        <f t="shared" si="98"/>
        <v>0.68955682183150191</v>
      </c>
      <c r="AD48" s="25">
        <f t="shared" si="4"/>
        <v>38787571.228021979</v>
      </c>
      <c r="AE48" s="2">
        <f t="shared" si="32"/>
        <v>6000000</v>
      </c>
      <c r="AF48" s="8">
        <f t="shared" si="5"/>
        <v>1</v>
      </c>
      <c r="AG48" s="2">
        <f t="shared" si="6"/>
        <v>750000</v>
      </c>
      <c r="AH48" s="8">
        <f t="shared" si="99"/>
        <v>1</v>
      </c>
      <c r="AI48" s="8">
        <f t="shared" si="100"/>
        <v>0.86894004775193356</v>
      </c>
      <c r="AJ48" s="2">
        <f t="shared" si="38"/>
        <v>470622.53090000007</v>
      </c>
      <c r="AK48" s="4">
        <f t="shared" si="101"/>
        <v>0.13974935272558586</v>
      </c>
      <c r="AL48" s="4">
        <f t="shared" si="103"/>
        <v>0.97375585295930311</v>
      </c>
      <c r="AM48" s="4">
        <f t="shared" si="104"/>
        <v>1.5927436418434571E-2</v>
      </c>
      <c r="AN48" s="4">
        <f t="shared" si="105"/>
        <v>4.6362750201694386E-3</v>
      </c>
      <c r="AO48" s="4">
        <f t="shared" si="106"/>
        <v>0</v>
      </c>
      <c r="AP48" s="4">
        <f t="shared" si="107"/>
        <v>5.6353067966220674E-4</v>
      </c>
      <c r="AQ48" s="4">
        <f t="shared" si="108"/>
        <v>0</v>
      </c>
      <c r="AR48" s="4">
        <f t="shared" si="109"/>
        <v>1.1408560915195632E-3</v>
      </c>
    </row>
    <row r="49" spans="1:44" x14ac:dyDescent="0.25">
      <c r="A49">
        <f t="shared" si="26"/>
        <v>45</v>
      </c>
      <c r="B49" s="3">
        <f t="shared" si="90"/>
        <v>43235</v>
      </c>
      <c r="C49">
        <v>2261</v>
      </c>
      <c r="D49" s="2">
        <v>53616627.539999999</v>
      </c>
      <c r="E49" s="8">
        <f t="shared" si="18"/>
        <v>0.71488717105078547</v>
      </c>
      <c r="F49" s="1">
        <v>363630.13</v>
      </c>
      <c r="G49" s="1"/>
      <c r="H49" s="1"/>
      <c r="I49" s="1"/>
      <c r="J49" s="1"/>
      <c r="K49" s="1"/>
      <c r="L49" s="1"/>
      <c r="M49" s="6">
        <f t="shared" si="102"/>
        <v>6.7139323296313046E-3</v>
      </c>
      <c r="N49" s="6">
        <f t="shared" ref="N49" si="110">1-(+M49-1)^12</f>
        <v>7.7657699806882752E-2</v>
      </c>
      <c r="O49" s="6">
        <f t="shared" ref="O49" si="111">AVERAGE(N47:N49)</f>
        <v>5.6642657002869155E-2</v>
      </c>
      <c r="P49" s="6">
        <f t="shared" ref="P49" si="112">AVERAGE(N44:N49)</f>
        <v>4.4816728935000792E-2</v>
      </c>
      <c r="Q49" s="27">
        <f t="shared" ref="Q49" si="113">AVERAGE(N38:N49)</f>
        <v>4.2868912360393009E-2</v>
      </c>
      <c r="R49" s="2">
        <v>0</v>
      </c>
      <c r="S49" s="26">
        <v>51784601.07</v>
      </c>
      <c r="T49" s="26">
        <v>1137316.97</v>
      </c>
      <c r="U49" s="26">
        <v>314456</v>
      </c>
      <c r="V49" s="26">
        <v>99573.81</v>
      </c>
      <c r="W49" s="26">
        <v>13441.05</v>
      </c>
      <c r="X49" s="26">
        <v>17080.07</v>
      </c>
      <c r="Y49" s="26">
        <v>0</v>
      </c>
      <c r="Z49" s="26">
        <f t="shared" si="96"/>
        <v>689972.01999999979</v>
      </c>
      <c r="AA49" s="4">
        <f t="shared" si="97"/>
        <v>9.199611540543301E-3</v>
      </c>
      <c r="AB49" s="2">
        <v>46591799.009999998</v>
      </c>
      <c r="AC49" s="4">
        <f t="shared" si="98"/>
        <v>0.68266372175824175</v>
      </c>
      <c r="AD49" s="25">
        <f t="shared" si="4"/>
        <v>38399834.348901093</v>
      </c>
      <c r="AE49" s="2">
        <f t="shared" si="32"/>
        <v>6000000</v>
      </c>
      <c r="AF49" s="8">
        <f t="shared" si="5"/>
        <v>1</v>
      </c>
      <c r="AG49" s="2">
        <f t="shared" si="6"/>
        <v>750000</v>
      </c>
      <c r="AH49" s="8">
        <f t="shared" ref="AH49" si="114">+AG49/$AG$4</f>
        <v>1</v>
      </c>
      <c r="AI49" s="8">
        <f t="shared" si="100"/>
        <v>0.86898041051240649</v>
      </c>
      <c r="AJ49" s="2">
        <f t="shared" si="38"/>
        <v>465917.9901</v>
      </c>
      <c r="AK49" s="4">
        <f t="shared" si="101"/>
        <v>0.13970939359271753</v>
      </c>
      <c r="AL49" s="4">
        <f t="shared" si="103"/>
        <v>0.96583100142519707</v>
      </c>
      <c r="AM49" s="4">
        <f t="shared" si="104"/>
        <v>2.1212019893483959E-2</v>
      </c>
      <c r="AN49" s="4">
        <f t="shared" si="105"/>
        <v>5.8648970371253601E-3</v>
      </c>
      <c r="AO49" s="4">
        <f t="shared" si="106"/>
        <v>1.8571442212719223E-3</v>
      </c>
      <c r="AP49" s="4">
        <f t="shared" si="107"/>
        <v>2.5068809092799571E-4</v>
      </c>
      <c r="AQ49" s="4">
        <f t="shared" si="108"/>
        <v>3.1855920045059964E-4</v>
      </c>
      <c r="AR49" s="4">
        <f t="shared" si="109"/>
        <v>0</v>
      </c>
    </row>
    <row r="50" spans="1:44" x14ac:dyDescent="0.25">
      <c r="A50">
        <f t="shared" si="26"/>
        <v>46</v>
      </c>
      <c r="B50" s="3">
        <f t="shared" si="90"/>
        <v>43266</v>
      </c>
      <c r="C50">
        <v>2251</v>
      </c>
      <c r="D50" s="2">
        <v>52855262.039999999</v>
      </c>
      <c r="E50" s="8">
        <f t="shared" ref="E50:E51" si="115">+D50/D$4</f>
        <v>0.70473564803631372</v>
      </c>
      <c r="F50" s="1">
        <v>213515.57</v>
      </c>
      <c r="G50" s="1"/>
      <c r="H50" s="1"/>
      <c r="I50" s="1"/>
      <c r="J50" s="1"/>
      <c r="K50" s="1"/>
      <c r="L50" s="1"/>
      <c r="M50" s="6">
        <f t="shared" si="102"/>
        <v>3.9822640810578671E-3</v>
      </c>
      <c r="N50" s="6">
        <f t="shared" ref="N50:N51" si="116">1-(+M50-1)^12</f>
        <v>4.6754282616769616E-2</v>
      </c>
      <c r="O50" s="6">
        <f t="shared" ref="O50:O51" si="117">AVERAGE(N48:N50)</f>
        <v>6.0514431804541004E-2</v>
      </c>
      <c r="P50" s="6">
        <f t="shared" ref="P50:P51" si="118">AVERAGE(N45:N50)</f>
        <v>4.638463887392652E-2</v>
      </c>
      <c r="Q50" s="27">
        <f t="shared" ref="Q50:Q51" si="119">AVERAGE(N39:N50)</f>
        <v>4.3869630832541313E-2</v>
      </c>
      <c r="R50">
        <v>0</v>
      </c>
      <c r="S50" s="26">
        <v>51796423.579999998</v>
      </c>
      <c r="T50" s="26">
        <v>888876.04</v>
      </c>
      <c r="U50" s="26">
        <v>208305.17</v>
      </c>
      <c r="V50" s="26">
        <v>0</v>
      </c>
      <c r="W50" s="26">
        <v>59516.71</v>
      </c>
      <c r="X50" s="26">
        <v>13441.08</v>
      </c>
      <c r="Y50" s="26">
        <v>17080.07</v>
      </c>
      <c r="Z50" s="26">
        <f t="shared" ref="Z50:Z51" si="120">+Z49+Y50</f>
        <v>707052.08999999973</v>
      </c>
      <c r="AA50" s="4">
        <f t="shared" ref="AA50:AA51" si="121">+Z50/$D$4</f>
        <v>9.4273454261656307E-3</v>
      </c>
      <c r="AB50" s="2">
        <v>46239237.43</v>
      </c>
      <c r="AC50" s="4">
        <f t="shared" ref="AC50:AC51" si="122">+AB50/AB$4</f>
        <v>0.67749798432234432</v>
      </c>
      <c r="AD50" s="25">
        <f t="shared" si="4"/>
        <v>38109261.618131869</v>
      </c>
      <c r="AE50" s="2">
        <f t="shared" ref="AE50:AE59" si="123">+AE49</f>
        <v>6000000</v>
      </c>
      <c r="AF50" s="8">
        <f t="shared" si="5"/>
        <v>1</v>
      </c>
      <c r="AG50" s="2">
        <f t="shared" ref="AG50:AG58" si="124">+AG49</f>
        <v>750000</v>
      </c>
      <c r="AH50" s="8">
        <f t="shared" ref="AH50:AH51" si="125">+AG50/$AG$4</f>
        <v>1</v>
      </c>
      <c r="AI50" s="8">
        <f t="shared" si="100"/>
        <v>0.87482751282184357</v>
      </c>
      <c r="AJ50" s="2">
        <f t="shared" si="38"/>
        <v>462392.37430000002</v>
      </c>
      <c r="AK50" s="4">
        <f t="shared" si="101"/>
        <v>0.13392076230637495</v>
      </c>
      <c r="AL50" s="4">
        <f t="shared" si="103"/>
        <v>0.97996720819965499</v>
      </c>
      <c r="AM50" s="4">
        <f t="shared" si="104"/>
        <v>1.681717213562035E-2</v>
      </c>
      <c r="AN50" s="4">
        <f t="shared" si="105"/>
        <v>3.9410488560695824E-3</v>
      </c>
      <c r="AO50" s="4">
        <f t="shared" si="106"/>
        <v>0</v>
      </c>
      <c r="AP50" s="4">
        <f t="shared" si="107"/>
        <v>1.1260318784335744E-3</v>
      </c>
      <c r="AQ50" s="4">
        <f t="shared" si="108"/>
        <v>2.5429975145763178E-4</v>
      </c>
      <c r="AR50" s="4">
        <f t="shared" si="109"/>
        <v>3.2314795804198421E-4</v>
      </c>
    </row>
    <row r="51" spans="1:44" x14ac:dyDescent="0.25">
      <c r="A51">
        <f t="shared" si="26"/>
        <v>47</v>
      </c>
      <c r="B51" s="3">
        <f t="shared" si="90"/>
        <v>43296</v>
      </c>
      <c r="C51">
        <v>2243</v>
      </c>
      <c r="D51" s="2">
        <v>53213455.090000004</v>
      </c>
      <c r="E51" s="8">
        <f t="shared" si="115"/>
        <v>0.70951154737861233</v>
      </c>
      <c r="F51" s="1">
        <v>174481.11</v>
      </c>
      <c r="G51" s="1"/>
      <c r="H51" s="1"/>
      <c r="I51" s="1"/>
      <c r="J51" s="1"/>
      <c r="K51" s="1"/>
      <c r="L51" s="1"/>
      <c r="M51" s="6">
        <f t="shared" si="102"/>
        <v>3.3011114365104374E-3</v>
      </c>
      <c r="N51" s="6">
        <f t="shared" si="116"/>
        <v>3.8901968672950593E-2</v>
      </c>
      <c r="O51" s="6">
        <f t="shared" si="117"/>
        <v>5.4437983698867654E-2</v>
      </c>
      <c r="P51" s="6">
        <f t="shared" si="118"/>
        <v>4.792263593499254E-2</v>
      </c>
      <c r="Q51" s="27">
        <f t="shared" si="119"/>
        <v>4.2445035116148562E-2</v>
      </c>
      <c r="R51" s="2">
        <v>1239395.4099999999</v>
      </c>
      <c r="S51" s="26">
        <v>51294589.240000002</v>
      </c>
      <c r="T51" s="26">
        <v>805860.07</v>
      </c>
      <c r="U51" s="26">
        <v>424417.35</v>
      </c>
      <c r="V51" s="26">
        <v>45770.71</v>
      </c>
      <c r="W51" s="26">
        <v>0</v>
      </c>
      <c r="X51" s="26">
        <v>24264.11</v>
      </c>
      <c r="Y51" s="26">
        <v>13441.05</v>
      </c>
      <c r="Z51" s="26">
        <f t="shared" si="120"/>
        <v>720493.13999999978</v>
      </c>
      <c r="AA51" s="4">
        <f t="shared" si="121"/>
        <v>9.6065591263052672E-3</v>
      </c>
      <c r="AB51" s="2">
        <v>44794752.729999997</v>
      </c>
      <c r="AC51" s="4">
        <f t="shared" si="122"/>
        <v>0.6563333733333333</v>
      </c>
      <c r="AD51" s="25">
        <f t="shared" si="4"/>
        <v>36918752.249999993</v>
      </c>
      <c r="AE51" s="2">
        <f t="shared" si="123"/>
        <v>6000000</v>
      </c>
      <c r="AF51" s="8">
        <f t="shared" si="5"/>
        <v>1</v>
      </c>
      <c r="AG51" s="2">
        <f t="shared" si="124"/>
        <v>750000</v>
      </c>
      <c r="AH51" s="8">
        <f t="shared" si="125"/>
        <v>1</v>
      </c>
      <c r="AI51" s="8">
        <f t="shared" si="100"/>
        <v>0.84179372781260975</v>
      </c>
      <c r="AJ51" s="2">
        <f t="shared" si="38"/>
        <v>447947.52729999996</v>
      </c>
      <c r="AK51" s="4">
        <f t="shared" si="101"/>
        <v>0.16662420946551634</v>
      </c>
      <c r="AL51" s="4">
        <f t="shared" si="103"/>
        <v>0.96394021311424671</v>
      </c>
      <c r="AM51" s="4">
        <f t="shared" si="104"/>
        <v>1.514391554987451E-2</v>
      </c>
      <c r="AN51" s="4">
        <f t="shared" si="105"/>
        <v>7.9757525475874901E-3</v>
      </c>
      <c r="AO51" s="4">
        <f t="shared" si="106"/>
        <v>8.6013415070658201E-4</v>
      </c>
      <c r="AP51" s="4">
        <f t="shared" si="107"/>
        <v>0</v>
      </c>
      <c r="AQ51" s="4">
        <f t="shared" si="108"/>
        <v>4.5597696971493528E-4</v>
      </c>
      <c r="AR51" s="4">
        <f t="shared" si="109"/>
        <v>2.5258743258198756E-4</v>
      </c>
    </row>
    <row r="52" spans="1:44" x14ac:dyDescent="0.25">
      <c r="A52">
        <f t="shared" si="26"/>
        <v>48</v>
      </c>
      <c r="B52" s="3">
        <f t="shared" si="90"/>
        <v>43327</v>
      </c>
      <c r="C52">
        <v>2234</v>
      </c>
      <c r="D52" s="2">
        <v>52855235.07</v>
      </c>
      <c r="E52" s="8">
        <f t="shared" ref="E52" si="126">+D52/D$4</f>
        <v>0.70473528843691546</v>
      </c>
      <c r="F52" s="1">
        <v>154888.57</v>
      </c>
      <c r="G52" s="1"/>
      <c r="H52" s="1"/>
      <c r="I52" s="1"/>
      <c r="J52" s="1"/>
      <c r="K52" s="1"/>
      <c r="L52" s="1"/>
      <c r="M52" s="6">
        <f t="shared" si="102"/>
        <v>2.9107031245769839E-3</v>
      </c>
      <c r="N52" s="6">
        <f t="shared" ref="N52" si="127">1-(+M52-1)^12</f>
        <v>3.4374662621150298E-2</v>
      </c>
      <c r="O52" s="6">
        <f t="shared" ref="O52" si="128">AVERAGE(N50:N52)</f>
        <v>4.0010304636956838E-2</v>
      </c>
      <c r="P52" s="6">
        <f t="shared" ref="P52" si="129">AVERAGE(N47:N52)</f>
        <v>4.8326480819912997E-2</v>
      </c>
      <c r="Q52" s="27">
        <f t="shared" ref="Q52" si="130">AVERAGE(N41:N52)</f>
        <v>4.1286675974146925E-2</v>
      </c>
      <c r="R52" s="2">
        <v>0</v>
      </c>
      <c r="S52" s="26">
        <v>51185741.57</v>
      </c>
      <c r="T52" s="26">
        <v>745227.17</v>
      </c>
      <c r="U52" s="26">
        <v>208157.27</v>
      </c>
      <c r="V52" s="26">
        <v>103691.24</v>
      </c>
      <c r="W52" s="26">
        <v>45770.71</v>
      </c>
      <c r="X52" s="26">
        <v>0</v>
      </c>
      <c r="Y52" s="26">
        <v>24264.11</v>
      </c>
      <c r="Z52" s="26">
        <f t="shared" ref="Z52" si="131">+Z51+Y52</f>
        <v>744757.24999999977</v>
      </c>
      <c r="AA52" s="4">
        <f t="shared" ref="AA52" si="132">+Z52/$D$4</f>
        <v>9.9300800516567214E-3</v>
      </c>
      <c r="AB52" s="2">
        <v>44515847.810000002</v>
      </c>
      <c r="AC52" s="4">
        <f t="shared" ref="AC52:AC60" si="133">+AB52/AB$4</f>
        <v>0.65224685435897445</v>
      </c>
      <c r="AD52" s="25">
        <f t="shared" si="4"/>
        <v>36688885.557692304</v>
      </c>
      <c r="AE52" s="2">
        <f t="shared" si="123"/>
        <v>6000000</v>
      </c>
      <c r="AF52" s="8">
        <f t="shared" si="5"/>
        <v>1</v>
      </c>
      <c r="AG52" s="2">
        <f t="shared" si="124"/>
        <v>750000</v>
      </c>
      <c r="AH52" s="8">
        <f t="shared" ref="AH52" si="134">+AG52/$AG$4</f>
        <v>1</v>
      </c>
      <c r="AI52" s="8">
        <f t="shared" si="100"/>
        <v>0.84222211387470802</v>
      </c>
      <c r="AJ52" s="2">
        <f t="shared" si="38"/>
        <v>445158.47810000001</v>
      </c>
      <c r="AK52" s="4">
        <f t="shared" si="101"/>
        <v>0.16620010726403908</v>
      </c>
      <c r="AL52" s="4">
        <f t="shared" si="103"/>
        <v>0.96841384779030937</v>
      </c>
      <c r="AM52" s="4">
        <f t="shared" si="104"/>
        <v>1.4099401298907136E-2</v>
      </c>
      <c r="AN52" s="4">
        <f t="shared" si="105"/>
        <v>3.9382526579310887E-3</v>
      </c>
      <c r="AO52" s="4">
        <f t="shared" si="106"/>
        <v>1.9617969698304096E-3</v>
      </c>
      <c r="AP52" s="4">
        <f t="shared" si="107"/>
        <v>8.6596360680985614E-4</v>
      </c>
      <c r="AQ52" s="4">
        <f t="shared" si="108"/>
        <v>0</v>
      </c>
      <c r="AR52" s="4">
        <f t="shared" si="109"/>
        <v>4.5906729896982368E-4</v>
      </c>
    </row>
    <row r="53" spans="1:44" x14ac:dyDescent="0.25">
      <c r="A53">
        <f t="shared" si="26"/>
        <v>49</v>
      </c>
      <c r="B53" s="3">
        <f t="shared" si="90"/>
        <v>43358</v>
      </c>
      <c r="C53">
        <v>2223</v>
      </c>
      <c r="D53" s="2">
        <v>52081681.420000002</v>
      </c>
      <c r="E53" s="8">
        <f t="shared" ref="E53:E60" si="135">+D53/D$4</f>
        <v>0.6944212570276862</v>
      </c>
      <c r="F53" s="1">
        <v>212539.57</v>
      </c>
      <c r="G53" s="1"/>
      <c r="H53" s="1"/>
      <c r="I53" s="1"/>
      <c r="J53" s="1"/>
      <c r="K53" s="1"/>
      <c r="L53" s="1"/>
      <c r="M53" s="6">
        <f t="shared" si="102"/>
        <v>4.0211640288519866E-3</v>
      </c>
      <c r="N53" s="6">
        <f t="shared" ref="N53:N55" si="136">1-(+M53-1)^12</f>
        <v>4.7200940258787405E-2</v>
      </c>
      <c r="O53" s="6">
        <f t="shared" ref="O53:O55" si="137">AVERAGE(N51:N53)</f>
        <v>4.015919051762943E-2</v>
      </c>
      <c r="P53" s="6">
        <f t="shared" ref="P53:P55" si="138">AVERAGE(N48:N53)</f>
        <v>5.0336811161085217E-2</v>
      </c>
      <c r="Q53" s="27">
        <f t="shared" ref="Q53:Q55" si="139">AVERAGE(N42:N53)</f>
        <v>4.2613897693700387E-2</v>
      </c>
      <c r="R53" s="2">
        <v>0</v>
      </c>
      <c r="S53" s="26">
        <v>50829821.780000001</v>
      </c>
      <c r="T53" s="26">
        <v>813170.5</v>
      </c>
      <c r="U53" s="26">
        <v>120443.07</v>
      </c>
      <c r="V53" s="26">
        <v>25694.34</v>
      </c>
      <c r="W53" s="26">
        <v>23508.92</v>
      </c>
      <c r="X53" s="26">
        <v>45770.71</v>
      </c>
      <c r="Y53" s="26">
        <v>0</v>
      </c>
      <c r="Z53" s="26">
        <f t="shared" ref="Z53:Z56" si="140">+Z52+Y53</f>
        <v>744757.24999999977</v>
      </c>
      <c r="AA53" s="4">
        <f t="shared" ref="AA53:AA60" si="141">+Z53/$D$4</f>
        <v>9.9300800516567214E-3</v>
      </c>
      <c r="AB53" s="2">
        <v>44131505.880000003</v>
      </c>
      <c r="AC53" s="4">
        <f t="shared" si="133"/>
        <v>0.64661547076923076</v>
      </c>
      <c r="AD53" s="25">
        <f t="shared" si="4"/>
        <v>36372120.230769232</v>
      </c>
      <c r="AE53" s="2">
        <f t="shared" si="123"/>
        <v>6000000</v>
      </c>
      <c r="AF53" s="8">
        <f t="shared" si="5"/>
        <v>1</v>
      </c>
      <c r="AG53" s="2">
        <f t="shared" si="124"/>
        <v>750000</v>
      </c>
      <c r="AH53" s="8">
        <f t="shared" ref="AH53" si="142">+AG53/$AG$4</f>
        <v>1</v>
      </c>
      <c r="AI53" s="8">
        <f t="shared" si="100"/>
        <v>0.84735178812896328</v>
      </c>
      <c r="AJ53" s="2">
        <f t="shared" si="38"/>
        <v>441315.05880000006</v>
      </c>
      <c r="AK53" s="4">
        <f t="shared" si="101"/>
        <v>0.16112172975232633</v>
      </c>
      <c r="AL53" s="4">
        <f t="shared" si="103"/>
        <v>0.9759635325537076</v>
      </c>
      <c r="AM53" s="4">
        <f t="shared" si="104"/>
        <v>1.5613368805096461E-2</v>
      </c>
      <c r="AN53" s="4">
        <f t="shared" si="105"/>
        <v>2.3125802914985842E-3</v>
      </c>
      <c r="AO53" s="4">
        <f t="shared" si="106"/>
        <v>4.9334697535577377E-4</v>
      </c>
      <c r="AP53" s="4">
        <f t="shared" si="107"/>
        <v>4.5138558047729015E-4</v>
      </c>
      <c r="AQ53" s="4">
        <f t="shared" si="108"/>
        <v>8.7882550547654719E-4</v>
      </c>
      <c r="AR53" s="4">
        <f t="shared" si="109"/>
        <v>0</v>
      </c>
    </row>
    <row r="54" spans="1:44" x14ac:dyDescent="0.25">
      <c r="A54">
        <f t="shared" si="26"/>
        <v>50</v>
      </c>
      <c r="B54" s="3">
        <f t="shared" si="90"/>
        <v>43388</v>
      </c>
      <c r="C54">
        <v>2214</v>
      </c>
      <c r="D54" s="2">
        <v>51659984.469999999</v>
      </c>
      <c r="E54" s="8">
        <f t="shared" si="135"/>
        <v>0.68879864043544814</v>
      </c>
      <c r="F54" s="1">
        <v>211667.35</v>
      </c>
      <c r="G54" s="1"/>
      <c r="H54" s="1"/>
      <c r="I54" s="1"/>
      <c r="J54" s="1"/>
      <c r="K54" s="1"/>
      <c r="L54" s="1"/>
      <c r="M54" s="6">
        <f t="shared" si="102"/>
        <v>4.064142021319557E-3</v>
      </c>
      <c r="N54" s="6">
        <f t="shared" si="136"/>
        <v>4.769419981905787E-2</v>
      </c>
      <c r="O54" s="6">
        <f t="shared" si="137"/>
        <v>4.3089934232998527E-2</v>
      </c>
      <c r="P54" s="6">
        <f t="shared" si="138"/>
        <v>4.8763958965933087E-2</v>
      </c>
      <c r="Q54" s="27">
        <f t="shared" si="139"/>
        <v>4.1529941061648395E-2</v>
      </c>
      <c r="R54" s="2">
        <v>397654</v>
      </c>
      <c r="S54" s="26">
        <v>50124312.469999999</v>
      </c>
      <c r="T54" s="26">
        <v>950192.85</v>
      </c>
      <c r="U54" s="26">
        <v>271816.96999999997</v>
      </c>
      <c r="V54" s="26">
        <v>21110.45</v>
      </c>
      <c r="W54" s="26">
        <v>0</v>
      </c>
      <c r="X54" s="26">
        <v>23508.92</v>
      </c>
      <c r="Y54" s="26">
        <v>45770.71</v>
      </c>
      <c r="Z54" s="26">
        <f t="shared" si="140"/>
        <v>790527.95999999973</v>
      </c>
      <c r="AA54" s="4">
        <f t="shared" si="141"/>
        <v>1.0540355163877737E-2</v>
      </c>
      <c r="AB54" s="2">
        <v>43465887.109999999</v>
      </c>
      <c r="AC54" s="4">
        <f t="shared" si="133"/>
        <v>0.63686281479853479</v>
      </c>
      <c r="AD54" s="25">
        <f t="shared" si="4"/>
        <v>35823533.332417578</v>
      </c>
      <c r="AE54" s="2">
        <f t="shared" si="123"/>
        <v>6000000</v>
      </c>
      <c r="AF54" s="8">
        <f t="shared" si="5"/>
        <v>1</v>
      </c>
      <c r="AG54" s="2">
        <f t="shared" si="124"/>
        <v>750000</v>
      </c>
      <c r="AH54" s="8">
        <f t="shared" ref="AH54:AH55" si="143">+AG54/$AG$4</f>
        <v>1</v>
      </c>
      <c r="AI54" s="8">
        <f t="shared" si="100"/>
        <v>0.84138405297511309</v>
      </c>
      <c r="AJ54" s="2">
        <f t="shared" si="38"/>
        <v>434658.87109999999</v>
      </c>
      <c r="AK54" s="4">
        <f t="shared" si="101"/>
        <v>0.16702978755463804</v>
      </c>
      <c r="AL54" s="4">
        <f t="shared" si="103"/>
        <v>0.97027347151271803</v>
      </c>
      <c r="AM54" s="4">
        <f t="shared" si="104"/>
        <v>1.8393208200668282E-2</v>
      </c>
      <c r="AN54" s="4">
        <f t="shared" si="105"/>
        <v>5.2616541175665591E-3</v>
      </c>
      <c r="AO54" s="4">
        <f t="shared" si="106"/>
        <v>4.0864220569518882E-4</v>
      </c>
      <c r="AP54" s="4">
        <f t="shared" si="107"/>
        <v>0</v>
      </c>
      <c r="AQ54" s="4">
        <f t="shared" si="108"/>
        <v>4.5507021036082784E-4</v>
      </c>
      <c r="AR54" s="4">
        <f t="shared" si="109"/>
        <v>8.8599929848178676E-4</v>
      </c>
    </row>
    <row r="55" spans="1:44" x14ac:dyDescent="0.25">
      <c r="A55">
        <f t="shared" si="26"/>
        <v>51</v>
      </c>
      <c r="B55" s="3">
        <f t="shared" si="90"/>
        <v>43419</v>
      </c>
      <c r="C55">
        <v>2202</v>
      </c>
      <c r="D55" s="2">
        <v>51262641.060000002</v>
      </c>
      <c r="E55" s="8">
        <f t="shared" si="135"/>
        <v>0.68350073716656667</v>
      </c>
      <c r="F55" s="1">
        <v>198924.15</v>
      </c>
      <c r="G55" s="1"/>
      <c r="H55" s="1"/>
      <c r="I55" s="1"/>
      <c r="J55" s="1"/>
      <c r="K55" s="1"/>
      <c r="L55" s="1"/>
      <c r="M55" s="6">
        <f t="shared" si="102"/>
        <v>3.8506428532807495E-3</v>
      </c>
      <c r="N55" s="6">
        <f t="shared" si="136"/>
        <v>4.5241555301654413E-2</v>
      </c>
      <c r="O55" s="6">
        <f t="shared" si="137"/>
        <v>4.671223179316656E-2</v>
      </c>
      <c r="P55" s="6">
        <f t="shared" si="138"/>
        <v>4.3361268215061699E-2</v>
      </c>
      <c r="Q55" s="27">
        <f t="shared" si="139"/>
        <v>4.4088998575031242E-2</v>
      </c>
      <c r="R55" s="2">
        <v>0</v>
      </c>
      <c r="S55" s="26">
        <v>49812604.530000001</v>
      </c>
      <c r="T55" s="26">
        <v>839119.61</v>
      </c>
      <c r="U55" s="26">
        <v>296702.40000000002</v>
      </c>
      <c r="V55" s="26">
        <v>41509.65</v>
      </c>
      <c r="W55" s="26">
        <v>0</v>
      </c>
      <c r="X55" s="26">
        <v>0</v>
      </c>
      <c r="Y55" s="26">
        <v>0</v>
      </c>
      <c r="Z55" s="26">
        <f t="shared" si="140"/>
        <v>790527.95999999973</v>
      </c>
      <c r="AA55" s="4">
        <f t="shared" si="141"/>
        <v>1.0540355163877737E-2</v>
      </c>
      <c r="AB55" s="2">
        <v>43111826.609999999</v>
      </c>
      <c r="AC55" s="4">
        <f t="shared" si="133"/>
        <v>0.63167511516483521</v>
      </c>
      <c r="AD55" s="25">
        <f t="shared" si="4"/>
        <v>35531725.228021979</v>
      </c>
      <c r="AE55" s="2">
        <f t="shared" si="123"/>
        <v>6000000</v>
      </c>
      <c r="AF55" s="8">
        <f t="shared" si="5"/>
        <v>1</v>
      </c>
      <c r="AG55" s="2">
        <f t="shared" si="124"/>
        <v>750000</v>
      </c>
      <c r="AH55" s="8">
        <f t="shared" si="143"/>
        <v>1</v>
      </c>
      <c r="AI55" s="8">
        <f t="shared" si="100"/>
        <v>0.84099893642896906</v>
      </c>
      <c r="AJ55" s="2">
        <f t="shared" si="38"/>
        <v>431118.26610000001</v>
      </c>
      <c r="AK55" s="4">
        <f t="shared" si="101"/>
        <v>0.1674110529353206</v>
      </c>
      <c r="AL55" s="4">
        <f t="shared" si="103"/>
        <v>0.97171358127446428</v>
      </c>
      <c r="AM55" s="4">
        <f t="shared" si="104"/>
        <v>1.6369028061153895E-2</v>
      </c>
      <c r="AN55" s="4">
        <f t="shared" si="105"/>
        <v>5.7878875115452352E-3</v>
      </c>
      <c r="AO55" s="4">
        <f t="shared" si="106"/>
        <v>8.0974466281234553E-4</v>
      </c>
      <c r="AP55" s="4">
        <f t="shared" si="107"/>
        <v>0</v>
      </c>
      <c r="AQ55" s="4">
        <f t="shared" si="108"/>
        <v>0</v>
      </c>
      <c r="AR55" s="4">
        <f t="shared" si="109"/>
        <v>0</v>
      </c>
    </row>
    <row r="56" spans="1:44" x14ac:dyDescent="0.25">
      <c r="A56">
        <f t="shared" si="26"/>
        <v>52</v>
      </c>
      <c r="B56" s="3">
        <f t="shared" si="90"/>
        <v>43449</v>
      </c>
      <c r="C56">
        <v>2190</v>
      </c>
      <c r="D56" s="2">
        <v>50788377.789999999</v>
      </c>
      <c r="E56" s="8">
        <f t="shared" si="135"/>
        <v>0.67717723748037961</v>
      </c>
      <c r="F56" s="1">
        <v>292411.74</v>
      </c>
      <c r="G56" s="1"/>
      <c r="H56" s="1"/>
      <c r="I56" s="1"/>
      <c r="J56" s="1"/>
      <c r="K56" s="1"/>
      <c r="L56" s="1"/>
      <c r="M56" s="6">
        <f t="shared" si="102"/>
        <v>5.7041879613215539E-3</v>
      </c>
      <c r="N56" s="6">
        <f t="shared" ref="N56" si="144">1-(+M56-1)^12</f>
        <v>6.6343076378177712E-2</v>
      </c>
      <c r="O56" s="6">
        <f t="shared" ref="O56" si="145">AVERAGE(N54:N56)</f>
        <v>5.3092943832963334E-2</v>
      </c>
      <c r="P56" s="6">
        <f t="shared" ref="P56" si="146">AVERAGE(N51:N56)</f>
        <v>4.6626067175296382E-2</v>
      </c>
      <c r="Q56" s="27">
        <f t="shared" ref="Q56" si="147">AVERAGE(N45:N56)</f>
        <v>4.6505353024611451E-2</v>
      </c>
      <c r="R56" s="2">
        <v>0</v>
      </c>
      <c r="S56" s="26">
        <v>49061038.049999997</v>
      </c>
      <c r="T56" s="26">
        <v>986171.56</v>
      </c>
      <c r="U56" s="26">
        <v>393960.91</v>
      </c>
      <c r="V56" s="26">
        <v>49586.38</v>
      </c>
      <c r="W56" s="26">
        <v>86939.68</v>
      </c>
      <c r="X56" s="26">
        <v>0</v>
      </c>
      <c r="Y56" s="26">
        <v>0</v>
      </c>
      <c r="Z56" s="26">
        <f t="shared" si="140"/>
        <v>790527.95999999973</v>
      </c>
      <c r="AA56" s="4">
        <f t="shared" si="141"/>
        <v>1.0540355163877737E-2</v>
      </c>
      <c r="AB56" s="2">
        <v>42725690.509999998</v>
      </c>
      <c r="AC56" s="4">
        <f t="shared" si="133"/>
        <v>0.62601744336996334</v>
      </c>
      <c r="AD56" s="25">
        <f t="shared" si="4"/>
        <v>35213481.189560436</v>
      </c>
      <c r="AE56" s="2">
        <f t="shared" si="123"/>
        <v>6000000</v>
      </c>
      <c r="AF56" s="8">
        <f t="shared" si="5"/>
        <v>1</v>
      </c>
      <c r="AG56" s="2">
        <f t="shared" si="124"/>
        <v>750000</v>
      </c>
      <c r="AH56" s="8">
        <f t="shared" ref="AH56" si="148">+AG56/$AG$4</f>
        <v>1</v>
      </c>
      <c r="AI56" s="8">
        <f t="shared" si="100"/>
        <v>0.84124936391279059</v>
      </c>
      <c r="AJ56" s="2">
        <f t="shared" si="38"/>
        <v>427256.90509999997</v>
      </c>
      <c r="AK56" s="4">
        <f t="shared" si="101"/>
        <v>0.16716312972633743</v>
      </c>
      <c r="AL56" s="4">
        <f t="shared" si="103"/>
        <v>0.96598946815859699</v>
      </c>
      <c r="AM56" s="4">
        <f t="shared" si="104"/>
        <v>1.9417268337997059E-2</v>
      </c>
      <c r="AN56" s="4">
        <f t="shared" si="105"/>
        <v>7.7569106780482578E-3</v>
      </c>
      <c r="AO56" s="4">
        <f t="shared" si="106"/>
        <v>9.7633321160659967E-4</v>
      </c>
      <c r="AP56" s="4">
        <f t="shared" si="107"/>
        <v>1.711802656101334E-3</v>
      </c>
      <c r="AQ56" s="4">
        <f t="shared" si="108"/>
        <v>0</v>
      </c>
      <c r="AR56" s="4">
        <f t="shared" si="109"/>
        <v>0</v>
      </c>
    </row>
    <row r="57" spans="1:44" x14ac:dyDescent="0.25">
      <c r="A57">
        <f t="shared" si="26"/>
        <v>53</v>
      </c>
      <c r="B57" s="3">
        <f t="shared" si="90"/>
        <v>43480</v>
      </c>
      <c r="C57">
        <v>2184</v>
      </c>
      <c r="D57" s="2">
        <v>50472870.170000002</v>
      </c>
      <c r="E57" s="8">
        <f t="shared" si="135"/>
        <v>0.67297047625246587</v>
      </c>
      <c r="F57" s="1">
        <v>107771.66</v>
      </c>
      <c r="G57" s="1"/>
      <c r="H57" s="1"/>
      <c r="I57" s="1"/>
      <c r="J57" s="1"/>
      <c r="K57" s="1"/>
      <c r="L57" s="1"/>
      <c r="M57" s="6">
        <f t="shared" si="102"/>
        <v>2.1219748432528152E-3</v>
      </c>
      <c r="N57" s="6">
        <f t="shared" ref="N57" si="149">1-(+M57-1)^12</f>
        <v>2.5168606870965338E-2</v>
      </c>
      <c r="O57" s="6">
        <f t="shared" ref="O57" si="150">AVERAGE(N55:N57)</f>
        <v>4.5584412850265821E-2</v>
      </c>
      <c r="P57" s="6">
        <f t="shared" ref="P57" si="151">AVERAGE(N52:N57)</f>
        <v>4.433717354163217E-2</v>
      </c>
      <c r="Q57" s="27">
        <f t="shared" ref="Q57" si="152">AVERAGE(N46:N57)</f>
        <v>4.6129904738312355E-2</v>
      </c>
      <c r="R57" s="2">
        <v>0</v>
      </c>
      <c r="S57" s="26">
        <v>48621616.759999998</v>
      </c>
      <c r="T57" s="26">
        <v>1143821.9099999999</v>
      </c>
      <c r="U57" s="26">
        <v>338570.38</v>
      </c>
      <c r="V57" s="26">
        <v>80243.570000000007</v>
      </c>
      <c r="W57" s="26">
        <v>49586.38</v>
      </c>
      <c r="X57" s="26">
        <v>45430.03</v>
      </c>
      <c r="Y57" s="26">
        <v>0</v>
      </c>
      <c r="Z57" s="26">
        <f>+Z56+Y57</f>
        <v>790527.95999999973</v>
      </c>
      <c r="AA57" s="4">
        <f t="shared" si="141"/>
        <v>1.0540355163877737E-2</v>
      </c>
      <c r="AB57" s="2">
        <v>42460513.960000001</v>
      </c>
      <c r="AC57" s="4">
        <f t="shared" si="133"/>
        <v>0.62213207267399273</v>
      </c>
      <c r="AD57" s="25">
        <f t="shared" si="4"/>
        <v>34994929.08791209</v>
      </c>
      <c r="AE57" s="2">
        <f t="shared" si="123"/>
        <v>6000000</v>
      </c>
      <c r="AF57" s="8">
        <f t="shared" si="5"/>
        <v>1</v>
      </c>
      <c r="AG57" s="2">
        <f t="shared" si="124"/>
        <v>750000</v>
      </c>
      <c r="AH57" s="8">
        <f t="shared" ref="AH57:AH59" si="153">+AG57/$AG$4</f>
        <v>1</v>
      </c>
      <c r="AI57" s="8">
        <f t="shared" si="100"/>
        <v>0.84125419887925501</v>
      </c>
      <c r="AJ57" s="2">
        <f t="shared" si="38"/>
        <v>424605.13959999999</v>
      </c>
      <c r="AK57" s="4">
        <f t="shared" si="101"/>
        <v>0.16715834310953753</v>
      </c>
      <c r="AL57" s="4">
        <f t="shared" si="103"/>
        <v>0.96332181221783675</v>
      </c>
      <c r="AM57" s="4">
        <f t="shared" si="104"/>
        <v>2.2662113451195474E-2</v>
      </c>
      <c r="AN57" s="4">
        <f t="shared" si="105"/>
        <v>6.707967643996577E-3</v>
      </c>
      <c r="AO57" s="4">
        <f t="shared" si="106"/>
        <v>1.5898356826098445E-3</v>
      </c>
      <c r="AP57" s="4">
        <f t="shared" si="107"/>
        <v>9.8243630356240541E-4</v>
      </c>
      <c r="AQ57" s="4">
        <f t="shared" si="108"/>
        <v>9.0008810370769527E-4</v>
      </c>
      <c r="AR57" s="4">
        <f t="shared" si="109"/>
        <v>0</v>
      </c>
    </row>
    <row r="58" spans="1:44" x14ac:dyDescent="0.25">
      <c r="A58">
        <f t="shared" si="26"/>
        <v>54</v>
      </c>
      <c r="B58" s="3">
        <f t="shared" si="90"/>
        <v>43511</v>
      </c>
      <c r="C58">
        <v>2173</v>
      </c>
      <c r="D58" s="2">
        <v>50038360.869999997</v>
      </c>
      <c r="E58" s="8">
        <f t="shared" si="135"/>
        <v>0.66717702861272909</v>
      </c>
      <c r="F58" s="1">
        <v>221990.94</v>
      </c>
      <c r="G58" s="1"/>
      <c r="H58" s="1"/>
      <c r="I58" s="1"/>
      <c r="J58" s="1"/>
      <c r="K58" s="1"/>
      <c r="L58" s="1"/>
      <c r="M58" s="6">
        <f t="shared" si="102"/>
        <v>4.3982230305568528E-3</v>
      </c>
      <c r="N58" s="6">
        <f t="shared" ref="N58" si="154">1-(+M58-1)^12</f>
        <v>5.152048207151072E-2</v>
      </c>
      <c r="O58" s="6">
        <f t="shared" ref="O58" si="155">AVERAGE(N56:N58)</f>
        <v>4.7677388440217926E-2</v>
      </c>
      <c r="P58" s="6">
        <f t="shared" ref="P58" si="156">AVERAGE(N53:N58)</f>
        <v>4.7194810116692243E-2</v>
      </c>
      <c r="Q58" s="27">
        <f t="shared" ref="Q58" si="157">AVERAGE(N47:N58)</f>
        <v>4.7760645468302616E-2</v>
      </c>
      <c r="R58" s="2">
        <v>0</v>
      </c>
      <c r="S58" s="26">
        <v>48233427.479999997</v>
      </c>
      <c r="T58" s="26">
        <v>1147326.22</v>
      </c>
      <c r="U58" s="26">
        <v>359338.13</v>
      </c>
      <c r="V58" s="26">
        <v>8599.33</v>
      </c>
      <c r="W58" s="26">
        <v>84892.98</v>
      </c>
      <c r="X58" s="26">
        <v>49586.38</v>
      </c>
      <c r="Y58" s="26">
        <v>21921.11</v>
      </c>
      <c r="Z58" s="26">
        <f t="shared" ref="Z58:Z62" si="158">+Z57+Y58</f>
        <v>812449.06999999972</v>
      </c>
      <c r="AA58" s="4">
        <f t="shared" si="141"/>
        <v>1.0832636141499872E-2</v>
      </c>
      <c r="AB58" s="2">
        <v>42102570.450000003</v>
      </c>
      <c r="AC58" s="4">
        <f t="shared" si="133"/>
        <v>0.61688747912087916</v>
      </c>
      <c r="AD58" s="25">
        <f t="shared" si="4"/>
        <v>34699920.700549453</v>
      </c>
      <c r="AE58" s="2">
        <f t="shared" si="123"/>
        <v>6000000</v>
      </c>
      <c r="AF58" s="8">
        <f t="shared" si="5"/>
        <v>1</v>
      </c>
      <c r="AG58" s="2">
        <f t="shared" si="124"/>
        <v>750000</v>
      </c>
      <c r="AH58" s="8">
        <f t="shared" si="153"/>
        <v>1</v>
      </c>
      <c r="AI58" s="8">
        <f t="shared" si="100"/>
        <v>0.84140586777777893</v>
      </c>
      <c r="AJ58" s="2">
        <f t="shared" ref="AJ58:AJ60" si="159">+AB58*0.01</f>
        <v>421025.70450000005</v>
      </c>
      <c r="AK58" s="4">
        <f t="shared" si="101"/>
        <v>0.16700819089999883</v>
      </c>
      <c r="AL58" s="4">
        <f t="shared" ref="AL58:AL60" si="160">+S58/$D58</f>
        <v>0.96392900649385316</v>
      </c>
      <c r="AM58" s="4">
        <f t="shared" ref="AM58:AM60" si="161">+T58/$D58</f>
        <v>2.2928932923697506E-2</v>
      </c>
      <c r="AN58" s="4">
        <f t="shared" ref="AN58:AN60" si="162">+U58/$D58</f>
        <v>7.1812530177309949E-3</v>
      </c>
      <c r="AO58" s="4">
        <f t="shared" ref="AO58:AO60" si="163">+V58/$D58</f>
        <v>1.7185475004549244E-4</v>
      </c>
      <c r="AP58" s="4">
        <f t="shared" ref="AP58:AP60" si="164">+W58/$D58</f>
        <v>1.6965579712043832E-3</v>
      </c>
      <c r="AQ58" s="4">
        <f t="shared" ref="AQ58:AQ63" si="165">+X58/$D58</f>
        <v>9.9096731263491528E-4</v>
      </c>
      <c r="AR58" s="4">
        <f t="shared" ref="AR58:AR60" si="166">+Y58/$D58</f>
        <v>4.3808609272696187E-4</v>
      </c>
    </row>
    <row r="59" spans="1:44" x14ac:dyDescent="0.25">
      <c r="A59">
        <f t="shared" si="26"/>
        <v>55</v>
      </c>
      <c r="B59" s="3">
        <f t="shared" si="90"/>
        <v>43539</v>
      </c>
      <c r="C59">
        <v>2159</v>
      </c>
      <c r="D59" s="2">
        <v>49520000</v>
      </c>
      <c r="E59" s="8">
        <f t="shared" si="135"/>
        <v>0.66026556191032848</v>
      </c>
      <c r="F59" s="1">
        <v>344310.96</v>
      </c>
      <c r="G59" s="1"/>
      <c r="H59" s="1"/>
      <c r="I59" s="1">
        <f>F59-G59-H59</f>
        <v>344310.96</v>
      </c>
      <c r="J59" s="1"/>
      <c r="K59" s="1"/>
      <c r="L59" s="1"/>
      <c r="M59" s="6">
        <f t="shared" ref="M59" si="167">+F59/D58</f>
        <v>6.8809400230859328E-3</v>
      </c>
      <c r="N59" s="6">
        <f t="shared" ref="N59" si="168">1-(+M59-1)^12</f>
        <v>7.9516933289423219E-2</v>
      </c>
      <c r="O59" s="6">
        <f t="shared" ref="O59" si="169">AVERAGE(N57:N59)</f>
        <v>5.2068674077299759E-2</v>
      </c>
      <c r="P59" s="6">
        <f t="shared" ref="P59" si="170">AVERAGE(N54:N59)</f>
        <v>5.2580808955131543E-2</v>
      </c>
      <c r="Q59" s="27">
        <f t="shared" ref="Q59" si="171">AVERAGE(N48:N59)</f>
        <v>5.145881005810838E-2</v>
      </c>
      <c r="R59" s="2">
        <v>0</v>
      </c>
      <c r="S59" s="26">
        <v>47945343</v>
      </c>
      <c r="T59" s="26">
        <v>782924.75</v>
      </c>
      <c r="U59" s="26">
        <v>408786.78</v>
      </c>
      <c r="V59" s="26">
        <v>93275.75</v>
      </c>
      <c r="W59" s="26">
        <v>32241.3</v>
      </c>
      <c r="X59" s="26">
        <v>52651.68</v>
      </c>
      <c r="Y59" s="26">
        <v>18158.43</v>
      </c>
      <c r="Z59" s="26">
        <f t="shared" si="158"/>
        <v>830607.49999999977</v>
      </c>
      <c r="AA59" s="4">
        <f t="shared" si="141"/>
        <v>1.1074748136398083E-2</v>
      </c>
      <c r="AB59" s="2">
        <v>41637999.350000001</v>
      </c>
      <c r="AC59" s="4">
        <f t="shared" si="133"/>
        <v>0.61008057655677661</v>
      </c>
      <c r="AD59" s="25">
        <f t="shared" si="4"/>
        <v>34317032.431318678</v>
      </c>
      <c r="AE59" s="2">
        <f t="shared" si="123"/>
        <v>6000000</v>
      </c>
      <c r="AF59" s="8">
        <f t="shared" si="5"/>
        <v>1</v>
      </c>
      <c r="AG59" s="2">
        <v>750000</v>
      </c>
      <c r="AH59" s="8">
        <f t="shared" si="153"/>
        <v>1</v>
      </c>
      <c r="AI59" s="8">
        <f t="shared" si="100"/>
        <v>0.84083197394991926</v>
      </c>
      <c r="AJ59" s="2">
        <f t="shared" si="159"/>
        <v>416379.99350000004</v>
      </c>
      <c r="AK59" s="4">
        <f t="shared" si="101"/>
        <v>0.16757634578957997</v>
      </c>
      <c r="AL59" s="4">
        <f t="shared" si="160"/>
        <v>0.96820159531502425</v>
      </c>
      <c r="AM59" s="4">
        <f t="shared" si="161"/>
        <v>1.5810273626817448E-2</v>
      </c>
      <c r="AN59" s="4">
        <f t="shared" si="162"/>
        <v>8.2549834410339269E-3</v>
      </c>
      <c r="AO59" s="4">
        <f t="shared" si="163"/>
        <v>1.8835975363489499E-3</v>
      </c>
      <c r="AP59" s="4">
        <f t="shared" si="164"/>
        <v>6.5107633279483032E-4</v>
      </c>
      <c r="AQ59" s="4">
        <f t="shared" si="165"/>
        <v>1.0632407108239095E-3</v>
      </c>
      <c r="AR59" s="4">
        <f t="shared" si="166"/>
        <v>3.6668881260096931E-4</v>
      </c>
    </row>
    <row r="60" spans="1:44" x14ac:dyDescent="0.25">
      <c r="A60">
        <f t="shared" si="26"/>
        <v>56</v>
      </c>
      <c r="B60" s="3">
        <f t="shared" si="90"/>
        <v>43570</v>
      </c>
      <c r="C60">
        <v>2149</v>
      </c>
      <c r="D60" s="2">
        <v>49053792.25</v>
      </c>
      <c r="E60" s="8">
        <f t="shared" si="135"/>
        <v>0.65404946897776184</v>
      </c>
      <c r="F60" s="1">
        <v>290036.74</v>
      </c>
      <c r="G60" s="1"/>
      <c r="H60" s="1"/>
      <c r="I60" s="1"/>
      <c r="J60" s="1"/>
      <c r="K60" s="1"/>
      <c r="L60" s="1"/>
      <c r="M60" s="6">
        <f t="shared" ref="M60" si="172">+F60/D59</f>
        <v>5.8569616316639737E-3</v>
      </c>
      <c r="N60" s="6">
        <f t="shared" ref="N60" si="173">1-(+M60-1)^12</f>
        <v>6.8063100318565994E-2</v>
      </c>
      <c r="O60" s="6">
        <f t="shared" ref="O60" si="174">AVERAGE(N58:N60)</f>
        <v>6.6366838559833316E-2</v>
      </c>
      <c r="P60" s="6">
        <f t="shared" ref="P60" si="175">AVERAGE(N55:N60)</f>
        <v>5.5975625705049568E-2</v>
      </c>
      <c r="Q60" s="27">
        <f t="shared" ref="Q60" si="176">AVERAGE(N49:N60)</f>
        <v>5.2369792335491328E-2</v>
      </c>
      <c r="R60" s="2">
        <v>405222.59</v>
      </c>
      <c r="S60" s="26">
        <v>47886681</v>
      </c>
      <c r="T60" s="26">
        <v>672315.39</v>
      </c>
      <c r="U60" s="26">
        <v>145519</v>
      </c>
      <c r="V60" s="26">
        <v>110006</v>
      </c>
      <c r="W60" s="26">
        <v>0</v>
      </c>
      <c r="X60" s="26">
        <v>0</v>
      </c>
      <c r="Y60" s="38">
        <v>52651.68</v>
      </c>
      <c r="Z60" s="26">
        <f t="shared" si="158"/>
        <v>883259.17999999982</v>
      </c>
      <c r="AA60" s="4">
        <f t="shared" si="141"/>
        <v>1.1776769361776169E-2</v>
      </c>
      <c r="AB60" s="2">
        <v>40995792.869999997</v>
      </c>
      <c r="AC60" s="4">
        <f t="shared" si="133"/>
        <v>0.60067095780219781</v>
      </c>
      <c r="AD60" s="25">
        <f t="shared" si="4"/>
        <v>33787741.376373619</v>
      </c>
      <c r="AE60" s="2">
        <v>6000000</v>
      </c>
      <c r="AF60" s="8">
        <f t="shared" si="5"/>
        <v>1</v>
      </c>
      <c r="AG60" s="2">
        <v>750000</v>
      </c>
      <c r="AH60" s="8">
        <f t="shared" ref="AH60" si="177">+AG60/$AG$4</f>
        <v>1</v>
      </c>
      <c r="AI60" s="8">
        <f t="shared" si="100"/>
        <v>0.8357313673337865</v>
      </c>
      <c r="AJ60" s="2">
        <f t="shared" si="159"/>
        <v>409957.92869999999</v>
      </c>
      <c r="AK60" s="4">
        <f t="shared" si="101"/>
        <v>0.17262594633955142</v>
      </c>
      <c r="AL60" s="4">
        <f t="shared" si="160"/>
        <v>0.97620752246733788</v>
      </c>
      <c r="AM60" s="4">
        <f t="shared" si="161"/>
        <v>1.3705676139646471E-2</v>
      </c>
      <c r="AN60" s="4">
        <f t="shared" si="162"/>
        <v>2.9665188627694731E-3</v>
      </c>
      <c r="AO60" s="4">
        <f t="shared" si="163"/>
        <v>2.2425585251260568E-3</v>
      </c>
      <c r="AP60" s="4">
        <f t="shared" si="164"/>
        <v>0</v>
      </c>
      <c r="AQ60" s="4">
        <f t="shared" si="165"/>
        <v>0</v>
      </c>
      <c r="AR60" s="4">
        <f t="shared" si="166"/>
        <v>1.0733457615603613E-3</v>
      </c>
    </row>
    <row r="61" spans="1:44" x14ac:dyDescent="0.25">
      <c r="A61">
        <f t="shared" si="26"/>
        <v>57</v>
      </c>
      <c r="B61" s="3">
        <f t="shared" si="90"/>
        <v>43600</v>
      </c>
      <c r="C61" s="41">
        <f>'[1]Part 1'!$C$18</f>
        <v>2137</v>
      </c>
      <c r="D61" s="2">
        <f>'[1]Part 1'!$C$22</f>
        <v>48575098.509999998</v>
      </c>
      <c r="E61" s="8">
        <f t="shared" ref="E61" si="178">+D61/D$4</f>
        <v>0.6476668964570822</v>
      </c>
      <c r="F61" s="1">
        <f>'[1]Parts 2 - 3'!$C$49</f>
        <v>282309.92</v>
      </c>
      <c r="G61" s="1"/>
      <c r="H61" s="1"/>
      <c r="I61" s="1"/>
      <c r="J61" s="1"/>
      <c r="K61" s="1"/>
      <c r="L61" s="1"/>
      <c r="M61" s="6">
        <f t="shared" ref="M61" si="179">+F61/D60</f>
        <v>5.7551089742709947E-3</v>
      </c>
      <c r="N61" s="6">
        <f t="shared" ref="N61" si="180">1-(+M61-1)^12</f>
        <v>6.691670084524326E-2</v>
      </c>
      <c r="O61" s="6">
        <f t="shared" ref="O61" si="181">AVERAGE(N59:N61)</f>
        <v>7.1498911484410829E-2</v>
      </c>
      <c r="P61" s="6">
        <f t="shared" ref="P61" si="182">AVERAGE(N56:N61)</f>
        <v>5.9588149962314374E-2</v>
      </c>
      <c r="Q61" s="27">
        <f t="shared" ref="Q61" si="183">AVERAGE(N50:N61)</f>
        <v>5.1474709088688037E-2</v>
      </c>
      <c r="R61" s="2">
        <f>'[1]Parts 4 - 6 '!$C$46</f>
        <v>0</v>
      </c>
      <c r="S61" s="26">
        <f>'[1]Parts 7-10'!$C$4</f>
        <v>47277994.390000001</v>
      </c>
      <c r="T61" s="26">
        <f>'[1]Parts 7-10'!$E$4</f>
        <v>806013</v>
      </c>
      <c r="U61" s="26">
        <f>'[1]Parts 7-10'!$F$4</f>
        <v>131946.14000000001</v>
      </c>
      <c r="V61" s="26">
        <f>'[1]Parts 7-10'!$G$4</f>
        <v>87649.59</v>
      </c>
      <c r="W61" s="26">
        <f>'[1]Parts 7-10'!$H$4</f>
        <v>32225.41</v>
      </c>
      <c r="X61" s="26">
        <f>'[1]Parts 7-10'!$J$4</f>
        <v>0</v>
      </c>
      <c r="Y61" s="38">
        <f>'[1]Part 11'!$L$87</f>
        <v>0</v>
      </c>
      <c r="Z61" s="26">
        <f t="shared" si="158"/>
        <v>883259.17999999982</v>
      </c>
      <c r="AA61" s="4">
        <f t="shared" ref="AA61" si="184">+Z61/$D$4</f>
        <v>1.1776769361776169E-2</v>
      </c>
      <c r="AB61" s="2">
        <f>'[1]Part 11'!$V$8</f>
        <v>40568032.770000011</v>
      </c>
      <c r="AC61" s="4">
        <f t="shared" ref="AC61" si="185">+AB61/AB$4</f>
        <v>0.59440341054945067</v>
      </c>
      <c r="AD61" s="25">
        <f t="shared" ref="AD61" si="186">+$AD$2*AB61</f>
        <v>33435191.843406599</v>
      </c>
      <c r="AE61" s="2">
        <f>'[1]Part 11'!$V$9</f>
        <v>6000000</v>
      </c>
      <c r="AF61" s="8">
        <f t="shared" ref="AF61" si="187">+AE61/$AE$4</f>
        <v>1</v>
      </c>
      <c r="AG61" s="2">
        <f>'[1]Part 11'!$V$10</f>
        <v>750000</v>
      </c>
      <c r="AH61" s="8">
        <f t="shared" ref="AH61" si="188">+AG61/$AG$4</f>
        <v>1</v>
      </c>
      <c r="AI61" s="8">
        <f t="shared" ref="AI61" si="189">+AB61/D61</f>
        <v>0.83516110135419286</v>
      </c>
      <c r="AJ61" s="2">
        <f t="shared" ref="AJ61" si="190">+AB61*0.01</f>
        <v>405680.32770000014</v>
      </c>
      <c r="AK61" s="4">
        <f t="shared" ref="AK61" si="191">((+D61+AJ61)-AB61)/D61</f>
        <v>0.17319050965934898</v>
      </c>
      <c r="AL61" s="4">
        <f t="shared" ref="AL61" si="192">+S61/$D61</f>
        <v>0.9732969327950417</v>
      </c>
      <c r="AM61" s="4">
        <f t="shared" ref="AM61" si="193">+T61/$D61</f>
        <v>1.6593131557603918E-2</v>
      </c>
      <c r="AN61" s="4">
        <f t="shared" ref="AN61" si="194">+U61/$D61</f>
        <v>2.7163329369849182E-3</v>
      </c>
      <c r="AO61" s="4">
        <f t="shared" ref="AO61" si="195">+V61/$D61</f>
        <v>1.8044140452325764E-3</v>
      </c>
      <c r="AP61" s="4">
        <f t="shared" ref="AP61" si="196">+W61/$D61</f>
        <v>6.6341419757215436E-4</v>
      </c>
      <c r="AQ61" s="4">
        <f t="shared" si="165"/>
        <v>0</v>
      </c>
      <c r="AR61" s="4">
        <f t="shared" ref="AR61" si="197">+Y61/$D61</f>
        <v>0</v>
      </c>
    </row>
    <row r="62" spans="1:44" x14ac:dyDescent="0.25">
      <c r="A62">
        <f t="shared" si="26"/>
        <v>58</v>
      </c>
      <c r="B62" s="3">
        <f t="shared" si="90"/>
        <v>43631</v>
      </c>
      <c r="C62" s="41">
        <f>'[2]Part 1'!$C$18</f>
        <v>2127</v>
      </c>
      <c r="D62" s="2">
        <f>'[2]Part 1'!$C$22</f>
        <v>48140326.509999998</v>
      </c>
      <c r="E62" s="8">
        <f t="shared" ref="E62" si="198">+D62/D$4</f>
        <v>0.64186994615653947</v>
      </c>
      <c r="F62" s="1">
        <f>'[2]Parts 2 - 3'!$C$49</f>
        <v>237373.21</v>
      </c>
      <c r="G62" s="1"/>
      <c r="H62" s="1"/>
      <c r="I62" s="1"/>
      <c r="J62" s="1"/>
      <c r="K62" s="1"/>
      <c r="L62" s="1"/>
      <c r="M62" s="6">
        <f t="shared" ref="M62" si="199">+F62/D61</f>
        <v>4.886726270892333E-3</v>
      </c>
      <c r="N62" s="6">
        <f t="shared" ref="N62" si="200">1-(+M62-1)^12</f>
        <v>5.709002199223856E-2</v>
      </c>
      <c r="O62" s="6">
        <f t="shared" ref="O62" si="201">AVERAGE(N60:N62)</f>
        <v>6.4023274385349271E-2</v>
      </c>
      <c r="P62" s="6">
        <f t="shared" ref="P62" si="202">AVERAGE(N57:N62)</f>
        <v>5.8045974231324515E-2</v>
      </c>
      <c r="Q62" s="27">
        <f t="shared" ref="Q62" si="203">AVERAGE(N51:N62)</f>
        <v>5.2336020703310449E-2</v>
      </c>
      <c r="R62" s="2">
        <f>'[2]Parts 4 - 6 '!$C$46</f>
        <v>0</v>
      </c>
      <c r="S62" s="26">
        <f>'[2]Parts 7-10'!$C$4</f>
        <v>46904121.670000002</v>
      </c>
      <c r="T62" s="26">
        <f>'[2]Parts 7-10'!$E$4</f>
        <v>504656.88</v>
      </c>
      <c r="U62" s="26">
        <f>'[2]Parts 7-10'!$F$4</f>
        <v>389121.02</v>
      </c>
      <c r="V62" s="26">
        <f>'[2]Parts 7-10'!$G$4</f>
        <v>103156.96</v>
      </c>
      <c r="W62" s="26">
        <f>'[2]Parts 7-10'!$H$4</f>
        <v>0</v>
      </c>
      <c r="X62" s="26">
        <f>'[2]Parts 7-10'!$J$4</f>
        <v>0</v>
      </c>
      <c r="Y62" s="38">
        <f>'[2]Part 11'!$L$87</f>
        <v>0</v>
      </c>
      <c r="Z62" s="26">
        <f t="shared" si="158"/>
        <v>883259.17999999982</v>
      </c>
      <c r="AA62" s="4">
        <f t="shared" ref="AA62" si="204">+Z62/$D$4</f>
        <v>1.1776769361776169E-2</v>
      </c>
      <c r="AB62" s="2">
        <f>'[2]Part 11'!$V$8</f>
        <v>40181716.270000011</v>
      </c>
      <c r="AC62" s="4">
        <f t="shared" ref="AC62" si="205">+AB62/AB$4</f>
        <v>0.58874309553113569</v>
      </c>
      <c r="AD62" s="25">
        <f t="shared" ref="AD62" si="206">+$AD$2*AB62</f>
        <v>33116799.123626381</v>
      </c>
      <c r="AE62" s="2">
        <f>'[2]Part 11'!$V$9</f>
        <v>6000000</v>
      </c>
      <c r="AF62" s="8">
        <f t="shared" ref="AF62" si="207">+AE62/$AE$4</f>
        <v>1</v>
      </c>
      <c r="AG62" s="2">
        <f>'[2]Part 11'!$V$10</f>
        <v>750000</v>
      </c>
      <c r="AH62" s="8">
        <f t="shared" ref="AH62" si="208">+AG62/$AG$4</f>
        <v>1</v>
      </c>
      <c r="AI62" s="8">
        <f t="shared" ref="AI62" si="209">+AB62/D62</f>
        <v>0.83467893101334123</v>
      </c>
      <c r="AJ62" s="2">
        <f t="shared" ref="AJ62" si="210">+AB62*0.01</f>
        <v>401817.1627000001</v>
      </c>
      <c r="AK62" s="4">
        <f t="shared" ref="AK62" si="211">((+D62+AJ62)-AB62)/D62</f>
        <v>0.17366785829679213</v>
      </c>
      <c r="AL62" s="4">
        <f t="shared" ref="AL62" si="212">+S62/$D62</f>
        <v>0.97432080482995465</v>
      </c>
      <c r="AM62" s="4">
        <f t="shared" ref="AM62" si="213">+T62/$D62</f>
        <v>1.0483038163340451E-2</v>
      </c>
      <c r="AN62" s="4">
        <f t="shared" ref="AN62" si="214">+U62/$D62</f>
        <v>8.0830573494172185E-3</v>
      </c>
      <c r="AO62" s="4">
        <f t="shared" ref="AO62" si="215">+V62/$D62</f>
        <v>2.1428388105878679E-3</v>
      </c>
      <c r="AP62" s="4">
        <f t="shared" ref="AP62" si="216">+W62/$D62</f>
        <v>0</v>
      </c>
      <c r="AQ62" s="4">
        <f t="shared" si="165"/>
        <v>0</v>
      </c>
      <c r="AR62" s="4">
        <f t="shared" ref="AR62" si="217">+Y62/$D62</f>
        <v>0</v>
      </c>
    </row>
    <row r="63" spans="1:44" x14ac:dyDescent="0.25">
      <c r="A63">
        <f t="shared" si="26"/>
        <v>59</v>
      </c>
      <c r="B63" s="3">
        <f t="shared" si="90"/>
        <v>43661</v>
      </c>
      <c r="C63" s="41">
        <f>'[3]Part 1'!$C$18</f>
        <v>2121</v>
      </c>
      <c r="D63" s="2">
        <f>'[3]Part 1'!$C$22</f>
        <v>47831166.789999999</v>
      </c>
      <c r="E63" s="8">
        <f t="shared" ref="E63" si="218">+D63/D$4</f>
        <v>0.6377478234536752</v>
      </c>
      <c r="F63" s="1">
        <f>'[3]Parts 2 - 3'!$C$49</f>
        <v>191021.3</v>
      </c>
      <c r="G63" s="1"/>
      <c r="H63" s="1"/>
      <c r="I63" s="1"/>
      <c r="J63" s="1"/>
      <c r="K63" s="1"/>
      <c r="L63" s="1"/>
      <c r="M63" s="6">
        <f t="shared" ref="M63" si="219">+F63/D62</f>
        <v>3.9680100624228188E-3</v>
      </c>
      <c r="N63" s="6">
        <f t="shared" ref="N63" si="220">1-(+M63-1)^12</f>
        <v>4.659056683622087E-2</v>
      </c>
      <c r="O63" s="6">
        <f t="shared" ref="O63" si="221">AVERAGE(N61:N63)</f>
        <v>5.6865763224567566E-2</v>
      </c>
      <c r="P63" s="6">
        <f t="shared" ref="P63" si="222">AVERAGE(N58:N63)</f>
        <v>6.1616300892200437E-2</v>
      </c>
      <c r="Q63" s="27">
        <f t="shared" ref="Q63" si="223">AVERAGE(N52:N63)</f>
        <v>5.2976737216916307E-2</v>
      </c>
      <c r="R63" s="2">
        <f>'[3]Parts 4 - 6 '!$C$46</f>
        <v>0</v>
      </c>
      <c r="S63" s="26">
        <f>'[3]Parts 7-10'!$C$4</f>
        <v>46165226.549999997</v>
      </c>
      <c r="T63" s="26">
        <f>'[3]Parts 7-10'!$E$4</f>
        <v>897932.06</v>
      </c>
      <c r="U63" s="26">
        <f>'[3]Parts 7-10'!$F$4</f>
        <v>306499.06</v>
      </c>
      <c r="V63" s="26">
        <f>'[3]Parts 7-10'!$G$4</f>
        <v>198062.34</v>
      </c>
      <c r="W63" s="26">
        <f>'[3]Parts 7-10'!$H$4</f>
        <v>24176.799999999999</v>
      </c>
      <c r="X63" s="26">
        <f>'[3]Parts 7-10'!$J$4</f>
        <v>0</v>
      </c>
      <c r="Y63" s="38">
        <f>'[3]Part 11'!$L$87</f>
        <v>0</v>
      </c>
      <c r="Z63" s="26">
        <f t="shared" ref="Z63" si="224">+Z62+Y63</f>
        <v>883259.17999999982</v>
      </c>
      <c r="AA63" s="4">
        <f t="shared" ref="AA63" si="225">+Z63/$D$4</f>
        <v>1.1776769361776169E-2</v>
      </c>
      <c r="AB63" s="2">
        <f>'[3]Part 11'!$V$8</f>
        <v>39931259.849000014</v>
      </c>
      <c r="AC63" s="4">
        <f t="shared" ref="AC63" si="226">+AB63/AB$4</f>
        <v>0.58507340438095257</v>
      </c>
      <c r="AD63" s="25">
        <f t="shared" ref="AD63" si="227">+$AD$2*AB63</f>
        <v>32910378.996428583</v>
      </c>
      <c r="AE63" s="2">
        <f>'[3]Part 11'!$V$9</f>
        <v>6000000</v>
      </c>
      <c r="AF63" s="8">
        <f t="shared" ref="AF63" si="228">+AE63/$AE$4</f>
        <v>1</v>
      </c>
      <c r="AG63" s="2">
        <f>'[3]Part 11'!$V$10</f>
        <v>750000</v>
      </c>
      <c r="AH63" s="8">
        <f t="shared" ref="AH63" si="229">+AG63/$AG$4</f>
        <v>1</v>
      </c>
      <c r="AI63" s="8">
        <f t="shared" ref="AI63" si="230">+AB63/D63</f>
        <v>0.83483767026457723</v>
      </c>
      <c r="AJ63" s="2">
        <f t="shared" ref="AJ63" si="231">+AB63*0.01</f>
        <v>399312.59849000018</v>
      </c>
      <c r="AK63" s="4">
        <f t="shared" ref="AK63" si="232">((+D63+AJ63)-AB63)/D63</f>
        <v>0.17351070643806857</v>
      </c>
      <c r="AL63" s="4">
        <f t="shared" ref="AL63" si="233">+S63/$D63</f>
        <v>0.96517040348787186</v>
      </c>
      <c r="AM63" s="4">
        <f t="shared" ref="AM63" si="234">+T63/$D63</f>
        <v>1.8772949109569486E-2</v>
      </c>
      <c r="AN63" s="4">
        <f t="shared" ref="AN63" si="235">+U63/$D63</f>
        <v>6.4079360920812692E-3</v>
      </c>
      <c r="AO63" s="4">
        <f t="shared" ref="AO63" si="236">+V63/$D63</f>
        <v>4.1408636521367203E-3</v>
      </c>
      <c r="AP63" s="4">
        <f t="shared" ref="AP63" si="237">+W63/$D63</f>
        <v>5.0546122167888685E-4</v>
      </c>
      <c r="AQ63" s="4">
        <f t="shared" si="165"/>
        <v>0</v>
      </c>
      <c r="AR63" s="4">
        <f t="shared" ref="AR63" si="238">+Y63/$D63</f>
        <v>0</v>
      </c>
    </row>
    <row r="64" spans="1:44" x14ac:dyDescent="0.25">
      <c r="A64">
        <f t="shared" si="26"/>
        <v>60</v>
      </c>
      <c r="B64" s="3">
        <f t="shared" si="90"/>
        <v>43692</v>
      </c>
      <c r="C64" s="41">
        <f>'[4]Part 1'!$C$18</f>
        <v>2106</v>
      </c>
      <c r="D64" s="2">
        <f>'[4]Part 1'!$C$22</f>
        <v>47266646.189999998</v>
      </c>
      <c r="E64" s="8">
        <f t="shared" ref="E64" si="239">+D64/D$4</f>
        <v>0.63022089471439902</v>
      </c>
      <c r="F64" s="1">
        <f>'[4]Parts 2 - 3'!$C$49</f>
        <v>348311.32</v>
      </c>
      <c r="G64" s="1"/>
      <c r="H64" s="1"/>
      <c r="I64" s="1"/>
      <c r="J64" s="1"/>
      <c r="K64" s="1"/>
      <c r="L64" s="1"/>
      <c r="M64" s="6">
        <f t="shared" ref="M64" si="240">+F64/D63</f>
        <v>7.2820995885222901E-3</v>
      </c>
      <c r="N64" s="6">
        <f t="shared" ref="N64" si="241">1-(+M64-1)^12</f>
        <v>8.3968862556521695E-2</v>
      </c>
      <c r="O64" s="6">
        <f t="shared" ref="O64" si="242">AVERAGE(N62:N64)</f>
        <v>6.2549817128327037E-2</v>
      </c>
      <c r="P64" s="6">
        <f t="shared" ref="P64" si="243">AVERAGE(N59:N64)</f>
        <v>6.7024364306368933E-2</v>
      </c>
      <c r="Q64" s="27">
        <f t="shared" ref="Q64" si="244">AVERAGE(N53:N64)</f>
        <v>5.7109587211530588E-2</v>
      </c>
      <c r="R64" s="2">
        <f>'[4]Parts 4 - 6 '!$C$46</f>
        <v>0</v>
      </c>
      <c r="S64" s="26">
        <f>'[4]Parts 7-10'!$C$4</f>
        <v>45688754.759999998</v>
      </c>
      <c r="T64" s="26">
        <f>'[4]Parts 7-10'!$E$4</f>
        <v>888286.25</v>
      </c>
      <c r="U64" s="26">
        <f>'[4]Parts 7-10'!$F$4</f>
        <v>258468.17</v>
      </c>
      <c r="V64" s="26">
        <f>'[4]Parts 7-10'!$G$4</f>
        <v>136495.19</v>
      </c>
      <c r="W64" s="26">
        <f>'[4]Parts 7-10'!$H$4</f>
        <v>43179.27</v>
      </c>
      <c r="X64" s="26">
        <f>'[4]Parts 7-10'!$J$4</f>
        <v>12192.57</v>
      </c>
      <c r="Y64" s="38">
        <f>'[4]Part 11'!$L$87</f>
        <v>0</v>
      </c>
      <c r="Z64" s="26">
        <f t="shared" ref="Z64" si="245">+Z63+Y64</f>
        <v>883259.17999999982</v>
      </c>
      <c r="AA64" s="4">
        <f t="shared" ref="AA64" si="246">+Z64/$D$4</f>
        <v>1.1776769361776169E-2</v>
      </c>
      <c r="AB64" s="2">
        <f>'[4]Part 11'!$V$8</f>
        <v>39405764.889000013</v>
      </c>
      <c r="AC64" s="4">
        <f t="shared" ref="AC64" si="247">+AB64/AB$4</f>
        <v>0.57737384452747276</v>
      </c>
      <c r="AD64" s="25">
        <f t="shared" ref="AD64" si="248">+$AD$2*AB64</f>
        <v>32477278.754670341</v>
      </c>
      <c r="AE64" s="2">
        <f>'[4]Part 11'!$V$9</f>
        <v>6000000</v>
      </c>
      <c r="AF64" s="8">
        <f t="shared" ref="AF64" si="249">+AE64/$AE$4</f>
        <v>1</v>
      </c>
      <c r="AG64" s="2">
        <f>'[4]Part 11'!$V$10</f>
        <v>750000</v>
      </c>
      <c r="AH64" s="8">
        <f t="shared" ref="AH64" si="250">+AG64/$AG$4</f>
        <v>1</v>
      </c>
      <c r="AI64" s="8">
        <f t="shared" ref="AI64" si="251">+AB64/D64</f>
        <v>0.83369073258548487</v>
      </c>
      <c r="AJ64" s="2">
        <f t="shared" ref="AJ64" si="252">+AB64*0.01</f>
        <v>394057.64889000013</v>
      </c>
      <c r="AK64" s="4">
        <f t="shared" ref="AK64" si="253">((+D64+AJ64)-AB64)/D64</f>
        <v>0.17464617474037009</v>
      </c>
      <c r="AL64" s="4">
        <f t="shared" ref="AL64" si="254">+S64/$D64</f>
        <v>0.96661723314031478</v>
      </c>
      <c r="AM64" s="4">
        <f t="shared" ref="AM64" si="255">+T64/$D64</f>
        <v>1.8793088183775793E-2</v>
      </c>
      <c r="AN64" s="4">
        <f t="shared" ref="AN64" si="256">+U64/$D64</f>
        <v>5.4682993365135985E-3</v>
      </c>
      <c r="AO64" s="4">
        <f t="shared" ref="AO64" si="257">+V64/$D64</f>
        <v>2.8877697277552498E-3</v>
      </c>
      <c r="AP64" s="4">
        <f t="shared" ref="AP64" si="258">+W64/$D64</f>
        <v>9.1352514892700917E-4</v>
      </c>
      <c r="AQ64" s="4">
        <f t="shared" ref="AQ64" si="259">+X64/$D64</f>
        <v>2.5795293262375637E-4</v>
      </c>
      <c r="AR64" s="4">
        <f t="shared" ref="AR64" si="260">+Y64/$D64</f>
        <v>0</v>
      </c>
    </row>
    <row r="65" spans="1:44" x14ac:dyDescent="0.25">
      <c r="A65">
        <f t="shared" si="26"/>
        <v>61</v>
      </c>
      <c r="B65" s="3">
        <f t="shared" si="90"/>
        <v>43723</v>
      </c>
      <c r="C65" s="41">
        <f>'[5]Part 1'!$C$18</f>
        <v>2097</v>
      </c>
      <c r="D65" s="2">
        <f>'[5]Part 1'!$C$22</f>
        <v>46927397.810000002</v>
      </c>
      <c r="E65" s="8">
        <f t="shared" ref="E65" si="261">+D65/D$4</f>
        <v>0.62569759054945828</v>
      </c>
      <c r="F65" s="1">
        <f>'[5]Parts 2 - 3'!$C$49</f>
        <v>154372.89000000001</v>
      </c>
      <c r="G65" s="1"/>
      <c r="H65" s="1"/>
      <c r="I65" s="1"/>
      <c r="J65" s="1"/>
      <c r="K65" s="1"/>
      <c r="L65" s="1"/>
      <c r="M65" s="6">
        <f t="shared" ref="M65" si="262">+F65/D64</f>
        <v>3.2660004980988059E-3</v>
      </c>
      <c r="N65" s="6">
        <f t="shared" ref="N65" si="263">1-(+M65-1)^12</f>
        <v>3.8495608119691771E-2</v>
      </c>
      <c r="O65" s="6">
        <f t="shared" ref="O65" si="264">AVERAGE(N63:N65)</f>
        <v>5.6351679170811443E-2</v>
      </c>
      <c r="P65" s="6">
        <f t="shared" ref="P65" si="265">AVERAGE(N60:N65)</f>
        <v>6.0187476778080361E-2</v>
      </c>
      <c r="Q65" s="27">
        <f t="shared" ref="Q65" si="266">AVERAGE(N54:N65)</f>
        <v>5.6384142866605952E-2</v>
      </c>
      <c r="R65" s="2">
        <f>'[5]Parts 4 - 6 '!$C$46</f>
        <v>0</v>
      </c>
      <c r="S65" s="26">
        <f>'[5]Parts 7-10'!$C$4</f>
        <v>45236424.309999995</v>
      </c>
      <c r="T65" s="26">
        <f>'[5]Parts 7-10'!$E$4</f>
        <v>793915.42</v>
      </c>
      <c r="U65" s="26">
        <f>'[5]Parts 7-10'!$F$4</f>
        <v>472963.05</v>
      </c>
      <c r="V65" s="26">
        <f>'[5]Parts 7-10'!$G$4</f>
        <v>129453.21</v>
      </c>
      <c r="W65" s="26">
        <f>'[5]Parts 7-10'!$H$4</f>
        <v>0</v>
      </c>
      <c r="X65" s="26">
        <f>'[5]Parts 7-10'!$J$4</f>
        <v>43179.27</v>
      </c>
      <c r="Y65" s="38">
        <f>'[5]Part 11'!$L$87</f>
        <v>0</v>
      </c>
      <c r="Z65" s="26">
        <f t="shared" ref="Z65" si="267">+Z64+Y65</f>
        <v>883259.17999999982</v>
      </c>
      <c r="AA65" s="4">
        <f t="shared" ref="AA65" si="268">+Z65/$D$4</f>
        <v>1.1776769361776169E-2</v>
      </c>
      <c r="AB65" s="2">
        <f>'[5]Part 11'!$V$8</f>
        <v>39117984.79900001</v>
      </c>
      <c r="AC65" s="4">
        <f t="shared" ref="AC65" si="269">+AB65/AB$4</f>
        <v>0.57315728643223463</v>
      </c>
      <c r="AD65" s="25">
        <f t="shared" ref="AD65" si="270">+$AD$2*AB65</f>
        <v>32240097.361813195</v>
      </c>
      <c r="AE65" s="2">
        <f>'[5]Part 11'!$V$9</f>
        <v>6000000</v>
      </c>
      <c r="AF65" s="8">
        <f t="shared" ref="AF65" si="271">+AE65/$AE$4</f>
        <v>1</v>
      </c>
      <c r="AG65" s="2">
        <f>'[5]Part 11'!$V$10</f>
        <v>750000</v>
      </c>
      <c r="AH65" s="8">
        <f t="shared" ref="AH65" si="272">+AG65/$AG$4</f>
        <v>1</v>
      </c>
      <c r="AI65" s="8">
        <f t="shared" ref="AI65" si="273">+AB65/D65</f>
        <v>0.83358521086937742</v>
      </c>
      <c r="AJ65" s="2">
        <f t="shared" ref="AJ65" si="274">+AB65*0.01</f>
        <v>391179.8479900001</v>
      </c>
      <c r="AK65" s="4">
        <f t="shared" ref="AK65" si="275">((+D65+AJ65)-AB65)/D65</f>
        <v>0.17475064123931638</v>
      </c>
      <c r="AL65" s="4">
        <f t="shared" ref="AL65" si="276">+S65/$D65</f>
        <v>0.96396617799166207</v>
      </c>
      <c r="AM65" s="4">
        <f t="shared" ref="AM65" si="277">+T65/$D65</f>
        <v>1.6917951070170367E-2</v>
      </c>
      <c r="AN65" s="4">
        <f t="shared" ref="AN65" si="278">+U65/$D65</f>
        <v>1.0078612326107156E-2</v>
      </c>
      <c r="AO65" s="4">
        <f t="shared" ref="AO65" si="279">+V65/$D65</f>
        <v>2.7585848787979065E-3</v>
      </c>
      <c r="AP65" s="4">
        <f t="shared" ref="AP65" si="280">+W65/$D65</f>
        <v>0</v>
      </c>
      <c r="AQ65" s="4">
        <f t="shared" ref="AQ65" si="281">+X65/$D65</f>
        <v>9.2012922120302822E-4</v>
      </c>
      <c r="AR65" s="4">
        <f t="shared" ref="AR65" si="282">+Y65/$D65</f>
        <v>0</v>
      </c>
    </row>
    <row r="66" spans="1:44" x14ac:dyDescent="0.25">
      <c r="A66">
        <f t="shared" si="26"/>
        <v>62</v>
      </c>
      <c r="B66" s="3">
        <f t="shared" si="90"/>
        <v>43753</v>
      </c>
      <c r="C66" s="41">
        <f>'[6]Part 1'!$C$18</f>
        <v>2091</v>
      </c>
      <c r="D66" s="2">
        <f>'[6]Part 1'!$C$22</f>
        <v>46620895.369999997</v>
      </c>
      <c r="E66" s="8">
        <f t="shared" ref="E66" si="283">+D66/D$4</f>
        <v>0.62161089818731186</v>
      </c>
      <c r="F66" s="1">
        <f>'[6]Parts 2 - 3'!$C$49</f>
        <v>128462.73</v>
      </c>
      <c r="G66" s="1"/>
      <c r="H66" s="1"/>
      <c r="I66" s="1"/>
      <c r="J66" s="1"/>
      <c r="K66" s="1"/>
      <c r="L66" s="1"/>
      <c r="M66" s="6">
        <f t="shared" ref="M66" si="284">+F66/D65</f>
        <v>2.7374782322284489E-3</v>
      </c>
      <c r="N66" s="6">
        <f t="shared" ref="N66" si="285">1-(+M66-1)^12</f>
        <v>3.2359634261098558E-2</v>
      </c>
      <c r="O66" s="6">
        <f t="shared" ref="O66" si="286">AVERAGE(N64:N66)</f>
        <v>5.160803497910401E-2</v>
      </c>
      <c r="P66" s="6">
        <f t="shared" ref="P66" si="287">AVERAGE(N61:N66)</f>
        <v>5.4236899101835788E-2</v>
      </c>
      <c r="Q66" s="27">
        <f t="shared" ref="Q66" si="288">AVERAGE(N55:N66)</f>
        <v>5.5106262403442678E-2</v>
      </c>
      <c r="R66" s="2">
        <f>'[6]Parts 4 - 6 '!$C$46</f>
        <v>0</v>
      </c>
      <c r="S66" s="26">
        <f>'[6]Parts 7-10'!$C$4</f>
        <v>44935855.109999992</v>
      </c>
      <c r="T66" s="26">
        <f>'[6]Parts 7-10'!$E$4</f>
        <v>774204.91</v>
      </c>
      <c r="U66" s="26">
        <f>'[6]Parts 7-10'!$F$4</f>
        <v>494616.23</v>
      </c>
      <c r="V66" s="26">
        <f>'[6]Parts 7-10'!$G$4</f>
        <v>102187.5</v>
      </c>
      <c r="W66" s="26">
        <f>'[6]Parts 7-10'!$H$4</f>
        <v>31582.37</v>
      </c>
      <c r="X66" s="26">
        <f>'[6]Parts 7-10'!$J$4</f>
        <v>0</v>
      </c>
      <c r="Y66" s="38">
        <f>18405.93+24773.34</f>
        <v>43179.270000000004</v>
      </c>
      <c r="Z66" s="26">
        <f t="shared" ref="Z66" si="289">+Z65+Y66</f>
        <v>926438.44999999984</v>
      </c>
      <c r="AA66" s="4">
        <f t="shared" ref="AA66" si="290">+Z66/$D$4</f>
        <v>1.2352491998477053E-2</v>
      </c>
      <c r="AB66" s="2">
        <f>'[6]Part 11'!$V$8</f>
        <v>38863671.289000012</v>
      </c>
      <c r="AC66" s="4">
        <f t="shared" ref="AC66" si="291">+AB66/AB$4</f>
        <v>0.56943108115750929</v>
      </c>
      <c r="AD66" s="25">
        <f t="shared" ref="AD66" si="292">+$AD$2*AB66</f>
        <v>32030498.315109897</v>
      </c>
      <c r="AE66" s="2">
        <f>'[6]Part 11'!$V$9</f>
        <v>6000000</v>
      </c>
      <c r="AF66" s="8">
        <f t="shared" ref="AF66" si="293">+AE66/$AE$4</f>
        <v>1</v>
      </c>
      <c r="AG66" s="2">
        <f>'[6]Part 11'!$V$10</f>
        <v>750000</v>
      </c>
      <c r="AH66" s="8">
        <f t="shared" ref="AH66" si="294">+AG66/$AG$4</f>
        <v>1</v>
      </c>
      <c r="AI66" s="8">
        <f t="shared" ref="AI66" si="295">+AB66/D66</f>
        <v>0.83361057269630068</v>
      </c>
      <c r="AJ66" s="2">
        <f t="shared" ref="AJ66" si="296">+AB66*0.01</f>
        <v>388636.71289000014</v>
      </c>
      <c r="AK66" s="4">
        <f t="shared" ref="AK66" si="297">((+D66+AJ66)-AB66)/D66</f>
        <v>0.17472553303066227</v>
      </c>
      <c r="AL66" s="4">
        <f t="shared" ref="AL66" si="298">+S66/$D66</f>
        <v>0.96385654443942081</v>
      </c>
      <c r="AM66" s="4">
        <f t="shared" ref="AM66" si="299">+T66/$D66</f>
        <v>1.6606392988715354E-2</v>
      </c>
      <c r="AN66" s="4">
        <f t="shared" ref="AN66" si="300">+U66/$D66</f>
        <v>1.0609324983455374E-2</v>
      </c>
      <c r="AO66" s="4">
        <f t="shared" ref="AO66" si="301">+V66/$D66</f>
        <v>2.1918819702840043E-3</v>
      </c>
      <c r="AP66" s="4">
        <f t="shared" ref="AP66" si="302">+W66/$D66</f>
        <v>6.7742950343083468E-4</v>
      </c>
      <c r="AQ66" s="4">
        <f t="shared" ref="AQ66" si="303">+X66/$D66</f>
        <v>0</v>
      </c>
      <c r="AR66" s="4">
        <f t="shared" ref="AR66" si="304">+Y66/$D66</f>
        <v>9.2617847978495411E-4</v>
      </c>
    </row>
    <row r="67" spans="1:44" x14ac:dyDescent="0.25">
      <c r="A67">
        <f t="shared" si="26"/>
        <v>63</v>
      </c>
      <c r="B67" s="3">
        <f t="shared" si="90"/>
        <v>43784</v>
      </c>
      <c r="C67" s="41">
        <f>'[7]Part 1'!$C$18</f>
        <v>2073</v>
      </c>
      <c r="D67" s="2">
        <f>'[7]Part 1'!$C$22</f>
        <v>45899005.259999998</v>
      </c>
      <c r="E67" s="8">
        <f t="shared" ref="E67" si="305">+D67/D$4</f>
        <v>0.61198571282550529</v>
      </c>
      <c r="F67" s="1">
        <f>'[7]Parts 2 - 3'!$C$49</f>
        <v>155856.18</v>
      </c>
      <c r="G67" s="1"/>
      <c r="H67" s="1"/>
      <c r="I67" s="1"/>
      <c r="J67" s="1"/>
      <c r="K67" s="1"/>
      <c r="L67" s="1"/>
      <c r="M67" s="6">
        <f t="shared" ref="M67" si="306">+F67/D66</f>
        <v>3.3430541984033114E-3</v>
      </c>
      <c r="N67" s="6">
        <f t="shared" ref="N67" si="307">1-(+M67-1)^12</f>
        <v>3.9387191775095753E-2</v>
      </c>
      <c r="O67" s="6">
        <f t="shared" ref="O67" si="308">AVERAGE(N65:N67)</f>
        <v>3.6747478051962025E-2</v>
      </c>
      <c r="P67" s="6">
        <f t="shared" ref="P67" si="309">AVERAGE(N62:N67)</f>
        <v>4.9648647590144535E-2</v>
      </c>
      <c r="Q67" s="27">
        <f t="shared" ref="Q67" si="310">AVERAGE(N56:N67)</f>
        <v>5.4618398776229454E-2</v>
      </c>
      <c r="R67" s="2">
        <f>'[7]Parts 4 - 6 '!$C$46</f>
        <v>0</v>
      </c>
      <c r="S67" s="26">
        <f>'[7]Parts 7-10'!$C$4</f>
        <v>44059027.810000002</v>
      </c>
      <c r="T67" s="26">
        <f>'[7]Parts 7-10'!$E$4</f>
        <v>1088987.98</v>
      </c>
      <c r="U67" s="26">
        <f>'[7]Parts 7-10'!$F$4</f>
        <v>363728.1</v>
      </c>
      <c r="V67" s="26">
        <f>'[7]Parts 7-10'!$G$4</f>
        <v>130770.91</v>
      </c>
      <c r="W67" s="26">
        <f>'[7]Parts 7-10'!$H$4</f>
        <v>49114.67</v>
      </c>
      <c r="X67" s="26">
        <f>'[7]Parts 7-10'!$J$4</f>
        <v>17318.150000000001</v>
      </c>
      <c r="Y67" s="38">
        <f>'[7]Part 11'!$L$87</f>
        <v>0</v>
      </c>
      <c r="Z67" s="26">
        <f t="shared" ref="Z67" si="311">+Z66+Y67</f>
        <v>926438.44999999984</v>
      </c>
      <c r="AA67" s="4">
        <f t="shared" ref="AA67" si="312">+Z67/$D$4</f>
        <v>1.2352491998477053E-2</v>
      </c>
      <c r="AB67" s="2">
        <f>'[7]Part 11'!$V$8</f>
        <v>38238527.959000014</v>
      </c>
      <c r="AC67" s="4">
        <f t="shared" ref="AC67" si="313">+AB67/AB$4</f>
        <v>0.56027147192674009</v>
      </c>
      <c r="AD67" s="25">
        <f t="shared" ref="AD67" si="314">+$AD$2*AB67</f>
        <v>31515270.295879129</v>
      </c>
      <c r="AE67" s="2">
        <f>'[7]Part 11'!$V$9</f>
        <v>6000000</v>
      </c>
      <c r="AF67" s="8">
        <f t="shared" ref="AF67" si="315">+AE67/$AE$4</f>
        <v>1</v>
      </c>
      <c r="AG67" s="2">
        <f>'[7]Part 11'!$V$10</f>
        <v>750000</v>
      </c>
      <c r="AH67" s="8">
        <f t="shared" ref="AH67" si="316">+AG67/$AG$4</f>
        <v>1</v>
      </c>
      <c r="AI67" s="8">
        <f t="shared" ref="AI67" si="317">+AB67/D67</f>
        <v>0.83310145268712554</v>
      </c>
      <c r="AJ67" s="2">
        <f t="shared" ref="AJ67" si="318">+AB67*0.01</f>
        <v>382385.27959000017</v>
      </c>
      <c r="AK67" s="4">
        <f t="shared" ref="AK67" si="319">((+D67+AJ67)-AB67)/D67</f>
        <v>0.17522956183974581</v>
      </c>
      <c r="AL67" s="4">
        <f t="shared" ref="AL67" si="320">+S67/$D67</f>
        <v>0.95991247654328804</v>
      </c>
      <c r="AM67" s="4">
        <f t="shared" ref="AM67" si="321">+T67/$D67</f>
        <v>2.3725742504250517E-2</v>
      </c>
      <c r="AN67" s="4">
        <f t="shared" ref="AN67" si="322">+U67/$D67</f>
        <v>7.9245312167360027E-3</v>
      </c>
      <c r="AO67" s="4">
        <f t="shared" ref="AO67" si="323">+V67/$D67</f>
        <v>2.8491011789740042E-3</v>
      </c>
      <c r="AP67" s="4">
        <f t="shared" ref="AP67" si="324">+W67/$D67</f>
        <v>1.0700595736614445E-3</v>
      </c>
      <c r="AQ67" s="4">
        <f t="shared" ref="AQ67" si="325">+X67/$D67</f>
        <v>3.7730991994051774E-4</v>
      </c>
      <c r="AR67" s="4">
        <f t="shared" ref="AR67" si="326">+Y67/$D67</f>
        <v>0</v>
      </c>
    </row>
    <row r="68" spans="1:44" x14ac:dyDescent="0.25">
      <c r="A68">
        <f t="shared" si="26"/>
        <v>64</v>
      </c>
      <c r="B68" s="3">
        <f t="shared" si="90"/>
        <v>43814</v>
      </c>
      <c r="C68" s="41">
        <f>'[8]Part 1'!$C$18</f>
        <v>2073</v>
      </c>
      <c r="D68" s="2">
        <f>'[8]Part 1'!$C$22</f>
        <v>45899005.259999998</v>
      </c>
      <c r="E68" s="8">
        <f t="shared" ref="E68" si="327">+D68/D$4</f>
        <v>0.61198571282550529</v>
      </c>
      <c r="F68" s="1">
        <f>'[8]Parts 2 - 3'!$C$49</f>
        <v>155856.18</v>
      </c>
      <c r="G68" s="1"/>
      <c r="H68" s="1"/>
      <c r="I68" s="1"/>
      <c r="J68" s="1"/>
      <c r="K68" s="1"/>
      <c r="L68" s="1"/>
      <c r="M68" s="6">
        <f t="shared" ref="M68" si="328">+F68/D67</f>
        <v>3.3956330669289107E-3</v>
      </c>
      <c r="N68" s="6">
        <f t="shared" ref="N68" si="329">1-(+M68-1)^12</f>
        <v>3.9995143575592973E-2</v>
      </c>
      <c r="O68" s="6">
        <f t="shared" ref="O68" si="330">AVERAGE(N66:N68)</f>
        <v>3.7247323203929095E-2</v>
      </c>
      <c r="P68" s="6">
        <f t="shared" ref="P68" si="331">AVERAGE(N63:N68)</f>
        <v>4.6799501187370272E-2</v>
      </c>
      <c r="Q68" s="27">
        <f t="shared" ref="Q68" si="332">AVERAGE(N57:N68)</f>
        <v>5.242273770934739E-2</v>
      </c>
      <c r="R68" s="2">
        <f>'[8]Parts 4 - 6 '!$C$46</f>
        <v>0</v>
      </c>
      <c r="S68" s="26">
        <f>'[8]Parts 7-10'!$C$4</f>
        <v>44059027.810000002</v>
      </c>
      <c r="T68" s="26">
        <f>'[8]Parts 7-10'!$E$4</f>
        <v>1088987.98</v>
      </c>
      <c r="U68" s="26">
        <f>'[8]Parts 7-10'!$F$4</f>
        <v>363728.1</v>
      </c>
      <c r="V68" s="26">
        <f>'[8]Parts 7-10'!$G$4</f>
        <v>130770.91</v>
      </c>
      <c r="W68" s="26">
        <f>'[8]Parts 7-10'!$H$4</f>
        <v>49114.67</v>
      </c>
      <c r="X68" s="26">
        <f>'[8]Parts 7-10'!$J$4</f>
        <v>17318.150000000001</v>
      </c>
      <c r="Y68" s="38">
        <f>'[8]Part 11'!$L$87</f>
        <v>0</v>
      </c>
      <c r="Z68" s="26">
        <f t="shared" ref="Z68" si="333">+Z67+Y68</f>
        <v>926438.44999999984</v>
      </c>
      <c r="AA68" s="4">
        <f t="shared" ref="AA68" si="334">+Z68/$D$4</f>
        <v>1.2352491998477053E-2</v>
      </c>
      <c r="AB68" s="2">
        <f>'[8]Part 11'!$V$8</f>
        <v>38238527.959000014</v>
      </c>
      <c r="AC68" s="4">
        <f t="shared" ref="AC68" si="335">+AB68/AB$4</f>
        <v>0.56027147192674009</v>
      </c>
      <c r="AD68" s="25">
        <f t="shared" ref="AD68" si="336">+$AD$2*AB68</f>
        <v>31515270.295879129</v>
      </c>
      <c r="AE68" s="2">
        <f>'[8]Part 11'!$V$9</f>
        <v>6000000</v>
      </c>
      <c r="AF68" s="8">
        <f t="shared" ref="AF68" si="337">+AE68/$AE$4</f>
        <v>1</v>
      </c>
      <c r="AG68" s="2">
        <f>'[8]Part 11'!$V$10</f>
        <v>750000</v>
      </c>
      <c r="AH68" s="8">
        <f t="shared" ref="AH68" si="338">+AG68/$AG$4</f>
        <v>1</v>
      </c>
      <c r="AI68" s="8">
        <f t="shared" ref="AI68" si="339">+AB68/D68</f>
        <v>0.83310145268712554</v>
      </c>
      <c r="AJ68" s="2">
        <f t="shared" ref="AJ68" si="340">+AB68*0.01</f>
        <v>382385.27959000017</v>
      </c>
      <c r="AK68" s="4">
        <f t="shared" ref="AK68" si="341">((+D68+AJ68)-AB68)/D68</f>
        <v>0.17522956183974581</v>
      </c>
      <c r="AL68" s="4">
        <f t="shared" ref="AL68" si="342">+S68/$D68</f>
        <v>0.95991247654328804</v>
      </c>
      <c r="AM68" s="4">
        <f t="shared" ref="AM68" si="343">+T68/$D68</f>
        <v>2.3725742504250517E-2</v>
      </c>
      <c r="AN68" s="4">
        <f t="shared" ref="AN68" si="344">+U68/$D68</f>
        <v>7.9245312167360027E-3</v>
      </c>
      <c r="AO68" s="4">
        <f t="shared" ref="AO68" si="345">+V68/$D68</f>
        <v>2.8491011789740042E-3</v>
      </c>
      <c r="AP68" s="4">
        <f t="shared" ref="AP68" si="346">+W68/$D68</f>
        <v>1.0700595736614445E-3</v>
      </c>
      <c r="AQ68" s="4">
        <f t="shared" ref="AQ68" si="347">+X68/$D68</f>
        <v>3.7730991994051774E-4</v>
      </c>
      <c r="AR68" s="4">
        <f t="shared" ref="AR68" si="348">+Y68/$D68</f>
        <v>0</v>
      </c>
    </row>
    <row r="69" spans="1:44" x14ac:dyDescent="0.25">
      <c r="A69">
        <f t="shared" si="26"/>
        <v>65</v>
      </c>
      <c r="B69" s="3">
        <f t="shared" si="90"/>
        <v>43845</v>
      </c>
      <c r="C69" s="41">
        <f>'[9]Part 1'!$C$18</f>
        <v>2065</v>
      </c>
      <c r="D69" s="2">
        <f>'[9]Part 1'!$C$22</f>
        <v>45593192.799999997</v>
      </c>
      <c r="E69" s="8">
        <f t="shared" ref="E69" si="349">+D69/D$4</f>
        <v>0.60790822018129931</v>
      </c>
      <c r="F69" s="1">
        <f>'[9]Parts 2 - 3'!$C$49</f>
        <v>59936.87</v>
      </c>
      <c r="G69" s="1"/>
      <c r="H69" s="1"/>
      <c r="I69" s="1"/>
      <c r="J69" s="1"/>
      <c r="K69" s="1"/>
      <c r="L69" s="1"/>
      <c r="M69" s="6">
        <f t="shared" ref="M69" si="350">+F69/D68</f>
        <v>1.3058424613013064E-3</v>
      </c>
      <c r="N69" s="6">
        <f t="shared" ref="N69" si="351">1-(+M69-1)^12</f>
        <v>1.5558053166047858E-2</v>
      </c>
      <c r="O69" s="6">
        <f t="shared" ref="O69" si="352">AVERAGE(N67:N69)</f>
        <v>3.1646796172245528E-2</v>
      </c>
      <c r="P69" s="6">
        <f t="shared" ref="P69" si="353">AVERAGE(N64:N69)</f>
        <v>4.1627415575674766E-2</v>
      </c>
      <c r="Q69" s="27">
        <f t="shared" ref="Q69" si="354">AVERAGE(N58:N69)</f>
        <v>5.1621858233937605E-2</v>
      </c>
      <c r="R69" s="2">
        <f>'[9]Parts 4 - 6 '!$C$46</f>
        <v>1526921.7480000001</v>
      </c>
      <c r="S69" s="26">
        <f>'[9]Parts 7-10'!$C$4</f>
        <v>43725581.709999993</v>
      </c>
      <c r="T69" s="26">
        <f>'[9]Parts 7-10'!$E$4</f>
        <v>898231.1</v>
      </c>
      <c r="U69" s="26">
        <f>'[9]Parts 7-10'!$F$4</f>
        <v>506786.14</v>
      </c>
      <c r="V69" s="26">
        <f>'[9]Parts 7-10'!$G$4</f>
        <v>191115.74</v>
      </c>
      <c r="W69" s="26">
        <f>'[9]Parts 7-10'!$H$4</f>
        <v>50837.51</v>
      </c>
      <c r="X69" s="26">
        <f>'[9]Parts 7-10'!$J$4</f>
        <v>30582.959999999999</v>
      </c>
      <c r="Y69" s="38">
        <f>'[9]Part 11'!$L$87</f>
        <v>0</v>
      </c>
      <c r="Z69" s="26">
        <f t="shared" ref="Z69" si="355">+Z68+Y69</f>
        <v>926438.44999999984</v>
      </c>
      <c r="AA69" s="4">
        <f t="shared" ref="AA69" si="356">+Z69/$D$4</f>
        <v>1.2352491998477053E-2</v>
      </c>
      <c r="AB69" s="2">
        <f>'[9]Part 11'!$V$8</f>
        <v>36795147.129000016</v>
      </c>
      <c r="AC69" s="4">
        <f t="shared" ref="AC69" si="357">+AB69/AB$4</f>
        <v>0.53912303485714308</v>
      </c>
      <c r="AD69" s="25">
        <f t="shared" ref="AD69" si="358">+$AD$2*AB69</f>
        <v>30325670.710714296</v>
      </c>
      <c r="AE69" s="2">
        <f>'[9]Part 11'!$V$9</f>
        <v>6000000</v>
      </c>
      <c r="AF69" s="8">
        <f t="shared" ref="AF69" si="359">+AE69/$AE$4</f>
        <v>1</v>
      </c>
      <c r="AG69" s="2">
        <f>'[9]Part 11'!$V$10</f>
        <v>750000</v>
      </c>
      <c r="AH69" s="8">
        <f t="shared" ref="AH69" si="360">+AG69/$AG$4</f>
        <v>1</v>
      </c>
      <c r="AI69" s="8">
        <f t="shared" ref="AI69" si="361">+AB69/D69</f>
        <v>0.80703159549291359</v>
      </c>
      <c r="AJ69" s="2">
        <f t="shared" ref="AJ69" si="362">+AB69*0.01</f>
        <v>367951.47129000019</v>
      </c>
      <c r="AK69" s="4">
        <f t="shared" ref="AK69" si="363">((+D69+AJ69)-AB69)/D69</f>
        <v>0.2010387204620156</v>
      </c>
      <c r="AL69" s="4">
        <f t="shared" ref="AL69" si="364">+S69/$D69</f>
        <v>0.95903750153685219</v>
      </c>
      <c r="AM69" s="4">
        <f t="shared" ref="AM69" si="365">+T69/$D69</f>
        <v>1.9700991416420392E-2</v>
      </c>
      <c r="AN69" s="4">
        <f t="shared" ref="AN69" si="366">+U69/$D69</f>
        <v>1.1115390453638071E-2</v>
      </c>
      <c r="AO69" s="4">
        <f t="shared" ref="AO69" si="367">+V69/$D69</f>
        <v>4.1917603980566156E-3</v>
      </c>
      <c r="AP69" s="4">
        <f t="shared" ref="AP69" si="368">+W69/$D69</f>
        <v>1.1150241270227517E-3</v>
      </c>
      <c r="AQ69" s="4">
        <f t="shared" ref="AQ69" si="369">+X69/$D69</f>
        <v>6.7077908174046545E-4</v>
      </c>
      <c r="AR69" s="4">
        <f t="shared" ref="AR69" si="370">+Y69/$D69</f>
        <v>0</v>
      </c>
    </row>
    <row r="70" spans="1:44" x14ac:dyDescent="0.25">
      <c r="A70">
        <f t="shared" si="26"/>
        <v>66</v>
      </c>
      <c r="B70" s="3">
        <f t="shared" si="90"/>
        <v>43876</v>
      </c>
      <c r="C70" s="41">
        <f>'[10]Part 1'!$C$18</f>
        <v>2056</v>
      </c>
      <c r="D70" s="2">
        <f>'[10]Part 1'!$C$22</f>
        <v>45230080</v>
      </c>
      <c r="E70" s="8">
        <f t="shared" ref="E70" si="371">+D70/D$4</f>
        <v>0.60306672428209029</v>
      </c>
      <c r="F70" s="1">
        <f>'[10]Parts 2 - 3'!$C$49</f>
        <v>162836.04</v>
      </c>
      <c r="G70" s="1"/>
      <c r="H70" s="1"/>
      <c r="I70" s="1"/>
      <c r="J70" s="1"/>
      <c r="K70" s="1"/>
      <c r="L70" s="1"/>
      <c r="M70" s="6">
        <f t="shared" ref="M70" si="372">+F70/D69</f>
        <v>3.5714989453425605E-3</v>
      </c>
      <c r="N70" s="6">
        <f t="shared" ref="N70" si="373">1-(+M70-1)^12</f>
        <v>4.2026059810273408E-2</v>
      </c>
      <c r="O70" s="6">
        <f t="shared" ref="O70" si="374">AVERAGE(N68:N70)</f>
        <v>3.2526418850638082E-2</v>
      </c>
      <c r="P70" s="6">
        <f t="shared" ref="P70" si="375">AVERAGE(N65:N70)</f>
        <v>3.4636948451300054E-2</v>
      </c>
      <c r="Q70" s="27">
        <f t="shared" ref="Q70" si="376">AVERAGE(N59:N70)</f>
        <v>5.0830656378834493E-2</v>
      </c>
      <c r="R70" s="2">
        <f>'[10]Parts 4 - 6 '!$C$46</f>
        <v>0</v>
      </c>
      <c r="S70" s="26">
        <f>'[10]Parts 7-10'!$C$4</f>
        <v>43379009.450000003</v>
      </c>
      <c r="T70" s="26">
        <f>'[10]Parts 7-10'!$E$4</f>
        <v>1025708.55</v>
      </c>
      <c r="U70" s="26">
        <f>'[10]Parts 7-10'!$F$4</f>
        <v>385355.82</v>
      </c>
      <c r="V70" s="26">
        <f>'[10]Parts 7-10'!$G$4</f>
        <v>105045.94</v>
      </c>
      <c r="W70" s="26">
        <f>'[10]Parts 7-10'!$H$4</f>
        <v>121653.69</v>
      </c>
      <c r="X70" s="26">
        <f>'[10]Parts 7-10'!$J$4</f>
        <v>9984.1</v>
      </c>
      <c r="Y70" s="38">
        <v>19381.650000000001</v>
      </c>
      <c r="Z70" s="26">
        <f t="shared" ref="Z70" si="377">+Z69+Y70</f>
        <v>945820.09999999986</v>
      </c>
      <c r="AA70" s="4">
        <f t="shared" ref="AA70" si="378">+Z70/$D$4</f>
        <v>1.2610913566086087E-2</v>
      </c>
      <c r="AB70" s="2">
        <f>'[10]Part 11'!$V$8</f>
        <v>36471824.809000015</v>
      </c>
      <c r="AC70" s="4">
        <f t="shared" ref="AC70" si="379">+AB70/AB$4</f>
        <v>0.53438571148717973</v>
      </c>
      <c r="AD70" s="25">
        <f t="shared" ref="AD70" si="380">+$AD$2*AB70</f>
        <v>30059196.271153856</v>
      </c>
      <c r="AE70" s="2">
        <f>'[10]Part 11'!$V$9</f>
        <v>6000000</v>
      </c>
      <c r="AF70" s="8">
        <f t="shared" ref="AF70" si="381">+AE70/$AE$4</f>
        <v>1</v>
      </c>
      <c r="AG70" s="2">
        <f>'[10]Part 11'!$V$10</f>
        <v>750000</v>
      </c>
      <c r="AH70" s="8">
        <f t="shared" ref="AH70" si="382">+AG70/$AG$4</f>
        <v>1</v>
      </c>
      <c r="AI70" s="8">
        <f t="shared" ref="AI70" si="383">+AB70/D70</f>
        <v>0.80636215564951497</v>
      </c>
      <c r="AJ70" s="2">
        <f t="shared" ref="AJ70" si="384">+AB70*0.01</f>
        <v>364718.24809000018</v>
      </c>
      <c r="AK70" s="4">
        <f t="shared" ref="AK70" si="385">((+D70+AJ70)-AB70)/D70</f>
        <v>0.20170146590698013</v>
      </c>
      <c r="AL70" s="4">
        <f t="shared" ref="AL70" si="386">+S70/$D70</f>
        <v>0.95907434720433837</v>
      </c>
      <c r="AM70" s="4">
        <f t="shared" ref="AM70" si="387">+T70/$D70</f>
        <v>2.2677575409992642E-2</v>
      </c>
      <c r="AN70" s="4">
        <f t="shared" ref="AN70" si="388">+U70/$D70</f>
        <v>8.5199013576805517E-3</v>
      </c>
      <c r="AO70" s="4">
        <f t="shared" ref="AO70" si="389">+V70/$D70</f>
        <v>2.3224796418666515E-3</v>
      </c>
      <c r="AP70" s="4">
        <f t="shared" ref="AP70" si="390">+W70/$D70</f>
        <v>2.6896633833059769E-3</v>
      </c>
      <c r="AQ70" s="4">
        <f t="shared" ref="AQ70" si="391">+X70/$D70</f>
        <v>2.2074026842313789E-4</v>
      </c>
      <c r="AR70" s="4">
        <f t="shared" ref="AR70" si="392">+Y70/$D70</f>
        <v>4.2851239705965591E-4</v>
      </c>
    </row>
    <row r="71" spans="1:44" x14ac:dyDescent="0.25">
      <c r="A71">
        <f t="shared" si="26"/>
        <v>67</v>
      </c>
      <c r="B71" s="3">
        <f t="shared" si="90"/>
        <v>43905</v>
      </c>
      <c r="C71" s="41">
        <f>'[11]Part 1'!$C$18</f>
        <v>2046</v>
      </c>
      <c r="D71" s="2">
        <f>'[11]Part 1'!$C$22</f>
        <v>44882967.280000001</v>
      </c>
      <c r="E71" s="8">
        <f t="shared" ref="E71" si="393">+D71/D$4</f>
        <v>0.59843856242593074</v>
      </c>
      <c r="F71" s="1">
        <f>'[11]Parts 2 - 3'!$C$49</f>
        <v>174998.61</v>
      </c>
      <c r="G71" s="1"/>
      <c r="H71" s="1"/>
      <c r="I71" s="1"/>
      <c r="J71" s="1"/>
      <c r="K71" s="1"/>
      <c r="L71" s="1"/>
      <c r="M71" s="6">
        <f t="shared" ref="M71" si="394">+F71/D70</f>
        <v>3.8690758451013127E-3</v>
      </c>
      <c r="N71" s="6">
        <f t="shared" ref="N71" si="395">1-(+M71-1)^12</f>
        <v>4.5453538737325938E-2</v>
      </c>
      <c r="O71" s="6">
        <f t="shared" ref="O71" si="396">AVERAGE(N69:N71)</f>
        <v>3.4345883904549068E-2</v>
      </c>
      <c r="P71" s="6">
        <f t="shared" ref="P71" si="397">AVERAGE(N66:N71)</f>
        <v>3.5796603554239081E-2</v>
      </c>
      <c r="Q71" s="27">
        <f t="shared" ref="Q71" si="398">AVERAGE(N60:N71)</f>
        <v>4.7992040166159718E-2</v>
      </c>
      <c r="R71" s="2">
        <f>'[11]Parts 4 - 6 '!$C$46</f>
        <v>0</v>
      </c>
      <c r="S71" s="26">
        <f>'[11]Parts 7-10'!$C$4</f>
        <v>42797554.850000001</v>
      </c>
      <c r="T71" s="26">
        <f>'[11]Parts 7-10'!$E$4</f>
        <v>1068871.58</v>
      </c>
      <c r="U71" s="26">
        <f>'[11]Parts 7-10'!$F$4</f>
        <v>539616.32999999996</v>
      </c>
      <c r="V71" s="26">
        <f>'[11]Parts 7-10'!$G$4</f>
        <v>72418.78</v>
      </c>
      <c r="W71" s="26">
        <f>'[11]Parts 7-10'!$H$4</f>
        <v>126620.62</v>
      </c>
      <c r="X71" s="26">
        <f>'[11]Parts 7-10'!$J$4</f>
        <v>64578.57</v>
      </c>
      <c r="Y71" s="38">
        <f>'[12]Parts 2 - 3'!$C$18</f>
        <v>9984.1</v>
      </c>
      <c r="Z71" s="26">
        <f t="shared" ref="Z71" si="399">+Z70+Y71</f>
        <v>955804.19999999984</v>
      </c>
      <c r="AA71" s="4">
        <f t="shared" ref="AA71" si="400">+Z71/$D$4</f>
        <v>1.2744034676681178E-2</v>
      </c>
      <c r="AB71" s="2">
        <f>'[11]Part 11'!$V$8</f>
        <v>36174858.059000015</v>
      </c>
      <c r="AC71" s="4">
        <f t="shared" ref="AC71" si="401">+AB71/AB$4</f>
        <v>0.53003455031501856</v>
      </c>
      <c r="AD71" s="25">
        <f t="shared" ref="AD71:AD76" si="402">+$AD$2*AB71</f>
        <v>29814443.45521979</v>
      </c>
      <c r="AE71" s="2">
        <f>'[11]Part 11'!$V$9</f>
        <v>6000000</v>
      </c>
      <c r="AF71" s="8">
        <f t="shared" ref="AF71" si="403">+AE71/$AE$4</f>
        <v>1</v>
      </c>
      <c r="AG71" s="2">
        <f>'[11]Part 11'!$V$10</f>
        <v>750000</v>
      </c>
      <c r="AH71" s="8">
        <f t="shared" ref="AH71" si="404">+AG71/$AG$4</f>
        <v>1</v>
      </c>
      <c r="AI71" s="8">
        <f t="shared" ref="AI71" si="405">+AB71/D71</f>
        <v>0.80598187355406092</v>
      </c>
      <c r="AJ71" s="2">
        <f t="shared" ref="AJ71:AJ76" si="406">+AB71*0.01</f>
        <v>361748.58059000014</v>
      </c>
      <c r="AK71" s="4">
        <f t="shared" ref="AK71" si="407">((+D71+AJ71)-AB71)/D71</f>
        <v>0.20207794518147973</v>
      </c>
      <c r="AL71" s="4">
        <f t="shared" ref="AL71" si="408">+S71/$D71</f>
        <v>0.95353666309559559</v>
      </c>
      <c r="AM71" s="4">
        <f t="shared" ref="AM71" si="409">+T71/$D71</f>
        <v>2.3814637150255724E-2</v>
      </c>
      <c r="AN71" s="4">
        <f t="shared" ref="AN71" si="410">+U71/$D71</f>
        <v>1.2022741870733105E-2</v>
      </c>
      <c r="AO71" s="4">
        <f t="shared" ref="AO71" si="411">+V71/$D71</f>
        <v>1.6135025019228184E-3</v>
      </c>
      <c r="AP71" s="4">
        <f t="shared" ref="AP71" si="412">+W71/$D71</f>
        <v>2.8211285410361573E-3</v>
      </c>
      <c r="AQ71" s="4">
        <f t="shared" ref="AQ71" si="413">+X71/$D71</f>
        <v>1.4388213149351297E-3</v>
      </c>
      <c r="AR71" s="4">
        <f t="shared" ref="AR71" si="414">+Y71/$D71</f>
        <v>2.2244741390903868E-4</v>
      </c>
    </row>
    <row r="72" spans="1:44" x14ac:dyDescent="0.25">
      <c r="A72">
        <f t="shared" si="26"/>
        <v>68</v>
      </c>
      <c r="B72" s="3">
        <f t="shared" si="90"/>
        <v>43936</v>
      </c>
      <c r="C72" s="41">
        <f>'[13]Part 1'!$C$18</f>
        <v>2043</v>
      </c>
      <c r="D72" s="2">
        <f>'[13]Part 1'!$C$22</f>
        <v>44614316.960000001</v>
      </c>
      <c r="E72" s="8">
        <f t="shared" ref="E72" si="415">+D72/D$4</f>
        <v>0.59485656415266364</v>
      </c>
      <c r="F72" s="1">
        <f>'[13]Parts 2 - 3'!$C$49</f>
        <v>74135.710000000006</v>
      </c>
      <c r="G72" s="1"/>
      <c r="H72" s="1"/>
      <c r="I72" s="1"/>
      <c r="J72" s="1"/>
      <c r="K72" s="1"/>
      <c r="L72" s="1"/>
      <c r="M72" s="6">
        <f t="shared" ref="M72" si="416">+F72/D71</f>
        <v>1.651755988803243E-3</v>
      </c>
      <c r="N72" s="6">
        <f t="shared" ref="N72" si="417">1-(+M72-1)^12</f>
        <v>1.964199195900751E-2</v>
      </c>
      <c r="O72" s="6">
        <f t="shared" ref="O72" si="418">AVERAGE(N70:N72)</f>
        <v>3.5707196835535616E-2</v>
      </c>
      <c r="P72" s="6">
        <f t="shared" ref="P72" si="419">AVERAGE(N67:N72)</f>
        <v>3.3676996503890576E-2</v>
      </c>
      <c r="Q72" s="27">
        <f t="shared" ref="Q72" si="420">AVERAGE(N61:N72)</f>
        <v>4.3956947802863182E-2</v>
      </c>
      <c r="R72" s="2">
        <f>'[13]Parts 4 - 6 '!$C$46</f>
        <v>0</v>
      </c>
      <c r="S72" s="26">
        <f>'[13]Parts 7-10'!$C$4</f>
        <v>43032566.649999999</v>
      </c>
      <c r="T72" s="26">
        <f>'[13]Parts 7-10'!$E$4</f>
        <v>744854.69</v>
      </c>
      <c r="U72" s="26">
        <f>'[13]Parts 7-10'!$F$4</f>
        <v>357232.64000000001</v>
      </c>
      <c r="V72" s="26">
        <f>'[13]Parts 7-10'!$G$4</f>
        <v>36050.58</v>
      </c>
      <c r="W72" s="26">
        <f>'[13]Parts 7-10'!$H$4</f>
        <v>99105.96</v>
      </c>
      <c r="X72" s="26">
        <f>'[13]Parts 7-10'!$J$4</f>
        <v>125083.05</v>
      </c>
      <c r="Y72" s="38">
        <f>'[14]Parts 2 - 3'!$C$18</f>
        <v>0</v>
      </c>
      <c r="Z72" s="26">
        <f t="shared" ref="Z72" si="421">+Z71+Y72</f>
        <v>955804.19999999984</v>
      </c>
      <c r="AA72" s="4">
        <f t="shared" ref="AA72" si="422">+Z72/$D$4</f>
        <v>1.2744034676681178E-2</v>
      </c>
      <c r="AB72" s="2">
        <f>'[13]Part 11'!$V$8</f>
        <v>35938687.269000016</v>
      </c>
      <c r="AC72" s="4">
        <f t="shared" ref="AC72" si="423">+AB72/AB$4</f>
        <v>0.52657417243956073</v>
      </c>
      <c r="AD72" s="25">
        <f t="shared" si="402"/>
        <v>29619797.199725285</v>
      </c>
      <c r="AE72" s="2">
        <f>'[13]Part 11'!$V$9</f>
        <v>6000000</v>
      </c>
      <c r="AF72" s="8">
        <f t="shared" ref="AF72" si="424">+AE72/$AE$4</f>
        <v>1</v>
      </c>
      <c r="AG72" s="2">
        <f>'[13]Part 11'!$V$10</f>
        <v>750000</v>
      </c>
      <c r="AH72" s="8">
        <f t="shared" ref="AH72" si="425">+AG72/$AG$4</f>
        <v>1</v>
      </c>
      <c r="AI72" s="8">
        <f t="shared" ref="AI72" si="426">+AB72/D72</f>
        <v>0.80554157763351342</v>
      </c>
      <c r="AJ72" s="2">
        <f t="shared" si="406"/>
        <v>359386.87269000016</v>
      </c>
      <c r="AK72" s="4">
        <f t="shared" ref="AK72" si="427">((+D72+AJ72)-AB72)/D72</f>
        <v>0.20251383814282167</v>
      </c>
      <c r="AL72" s="4">
        <f t="shared" ref="AL72" si="428">+S72/$D72</f>
        <v>0.96454612739183798</v>
      </c>
      <c r="AM72" s="4">
        <f t="shared" ref="AM72" si="429">+T72/$D72</f>
        <v>1.6695418438610561E-2</v>
      </c>
      <c r="AN72" s="4">
        <f t="shared" ref="AN72" si="430">+U72/$D72</f>
        <v>8.0071300950384436E-3</v>
      </c>
      <c r="AO72" s="4">
        <f t="shared" ref="AO72" si="431">+V72/$D72</f>
        <v>8.0804957817289869E-4</v>
      </c>
      <c r="AP72" s="4">
        <f t="shared" ref="AP72" si="432">+W72/$D72</f>
        <v>2.2213936411680526E-3</v>
      </c>
      <c r="AQ72" s="4">
        <f t="shared" ref="AQ72" si="433">+X72/$D72</f>
        <v>2.8036526954373438E-3</v>
      </c>
      <c r="AR72" s="4">
        <f t="shared" ref="AR72" si="434">+Y72/$D72</f>
        <v>0</v>
      </c>
    </row>
    <row r="73" spans="1:44" x14ac:dyDescent="0.25">
      <c r="A73">
        <f t="shared" si="26"/>
        <v>69</v>
      </c>
      <c r="B73" s="3">
        <f t="shared" si="90"/>
        <v>43966</v>
      </c>
      <c r="C73" s="41">
        <f>'[15]Part 1'!$C$18</f>
        <v>2041</v>
      </c>
      <c r="D73" s="2">
        <f>'[15]Part 1'!$C$22</f>
        <v>44440299.630000003</v>
      </c>
      <c r="E73" s="8">
        <f t="shared" ref="E73" si="435">+D73/D$4</f>
        <v>0.59253633696820107</v>
      </c>
      <c r="F73" s="1">
        <f>'[15]Parts 2 - 3'!$C$49</f>
        <v>263.01</v>
      </c>
      <c r="G73" s="1"/>
      <c r="H73" s="1"/>
      <c r="I73" s="1"/>
      <c r="J73" s="1"/>
      <c r="K73" s="1"/>
      <c r="L73" s="1"/>
      <c r="M73" s="6">
        <f t="shared" ref="M73" si="436">+F73/D72</f>
        <v>5.895192797321266E-6</v>
      </c>
      <c r="N73" s="6">
        <f t="shared" ref="N73" si="437">1-(+M73-1)^12</f>
        <v>7.0740019895709771E-5</v>
      </c>
      <c r="O73" s="6">
        <f t="shared" ref="O73" si="438">AVERAGE(N71:N73)</f>
        <v>2.1722090238743053E-2</v>
      </c>
      <c r="P73" s="6">
        <f t="shared" ref="P73" si="439">AVERAGE(N68:N73)</f>
        <v>2.7124254544690567E-2</v>
      </c>
      <c r="Q73" s="27">
        <f t="shared" ref="Q73" si="440">AVERAGE(N62:N73)</f>
        <v>3.8386451067417553E-2</v>
      </c>
      <c r="R73" s="2">
        <f>'[15]Parts 4 - 6 '!$C$46</f>
        <v>0</v>
      </c>
      <c r="S73" s="26">
        <f>'[15]Parts 7-10'!$C$4</f>
        <v>42945184.729999997</v>
      </c>
      <c r="T73" s="26">
        <f>'[15]Parts 7-10'!$E$4</f>
        <v>696599.29</v>
      </c>
      <c r="U73" s="26">
        <f>'[15]Parts 7-10'!$F$4</f>
        <v>321073.24</v>
      </c>
      <c r="V73" s="26">
        <f>'[15]Parts 7-10'!$G$4</f>
        <v>38576.47</v>
      </c>
      <c r="W73" s="26">
        <f>'[15]Parts 7-10'!$H$4</f>
        <v>60132.44</v>
      </c>
      <c r="X73" s="26">
        <f>'[15]Parts 7-10'!$J$4</f>
        <v>92688.75</v>
      </c>
      <c r="Y73" s="38">
        <f>'[16]Parts 2 - 3'!$C$18</f>
        <v>66621.320000000007</v>
      </c>
      <c r="Z73" s="26">
        <f t="shared" ref="Z73" si="441">+Z72+Y73</f>
        <v>1022425.5199999998</v>
      </c>
      <c r="AA73" s="4">
        <f t="shared" ref="AA73" si="442">+Z73/$D$4</f>
        <v>1.3632317457073096E-2</v>
      </c>
      <c r="AB73" s="2">
        <f>'[15]Part 11'!$V$8</f>
        <v>35789479.159000017</v>
      </c>
      <c r="AC73" s="4">
        <f t="shared" ref="AC73" si="443">+AB73/AB$4</f>
        <v>0.52438797302564122</v>
      </c>
      <c r="AD73" s="25">
        <f t="shared" si="402"/>
        <v>29496823.48269232</v>
      </c>
      <c r="AE73" s="2">
        <f>'[15]Part 11'!$V$9</f>
        <v>6000000</v>
      </c>
      <c r="AF73" s="8">
        <f t="shared" ref="AF73" si="444">+AE73/$AE$4</f>
        <v>1</v>
      </c>
      <c r="AG73" s="2">
        <f>'[15]Part 11'!$V$10</f>
        <v>750000</v>
      </c>
      <c r="AH73" s="8">
        <f t="shared" ref="AH73" si="445">+AG73/$AG$4</f>
        <v>1</v>
      </c>
      <c r="AI73" s="8">
        <f t="shared" ref="AI73" si="446">+AB73/D73</f>
        <v>0.80533838558639836</v>
      </c>
      <c r="AJ73" s="2">
        <f t="shared" si="406"/>
        <v>357894.79159000015</v>
      </c>
      <c r="AK73" s="4">
        <f t="shared" ref="AK73" si="447">((+D73+AJ73)-AB73)/D73</f>
        <v>0.2027149982694656</v>
      </c>
      <c r="AL73" s="4">
        <f t="shared" ref="AL73" si="448">+S73/$D73</f>
        <v>0.96635677723939761</v>
      </c>
      <c r="AM73" s="4">
        <f t="shared" ref="AM73" si="449">+T73/$D73</f>
        <v>1.5674945844193895E-2</v>
      </c>
      <c r="AN73" s="4">
        <f t="shared" ref="AN73" si="450">+U73/$D73</f>
        <v>7.2248216747678121E-3</v>
      </c>
      <c r="AO73" s="4">
        <f t="shared" ref="AO73" si="451">+V73/$D73</f>
        <v>8.6805152803151792E-4</v>
      </c>
      <c r="AP73" s="4">
        <f t="shared" ref="AP73" si="452">+W73/$D73</f>
        <v>1.3531060884073522E-3</v>
      </c>
      <c r="AQ73" s="4">
        <f t="shared" ref="AQ73" si="453">+X73/$D73</f>
        <v>2.0856913830848531E-3</v>
      </c>
      <c r="AR73" s="4">
        <f t="shared" ref="AR73" si="454">+Y73/$D73</f>
        <v>1.4991195053740461E-3</v>
      </c>
    </row>
    <row r="74" spans="1:44" x14ac:dyDescent="0.25">
      <c r="A74">
        <f t="shared" si="26"/>
        <v>70</v>
      </c>
      <c r="B74" s="3">
        <f t="shared" si="90"/>
        <v>43997</v>
      </c>
      <c r="C74" s="41">
        <f>'[17]Part 1'!$C$18</f>
        <v>2039</v>
      </c>
      <c r="D74" s="2">
        <f>'[17]Part 1'!$C$22</f>
        <v>44231898.5</v>
      </c>
      <c r="E74" s="8">
        <f t="shared" ref="E74" si="455">+D74/D$4</f>
        <v>0.58975765988415019</v>
      </c>
      <c r="F74" s="1">
        <f>'[17]Parts 2 - 3'!$C$49</f>
        <v>29.98</v>
      </c>
      <c r="G74" s="1"/>
      <c r="H74" s="1"/>
      <c r="I74" s="1"/>
      <c r="J74" s="1"/>
      <c r="K74" s="1"/>
      <c r="L74" s="1"/>
      <c r="M74" s="6">
        <f t="shared" ref="M74" si="456">+F74/D73</f>
        <v>6.746129132703149E-7</v>
      </c>
      <c r="N74" s="6">
        <f t="shared" ref="N74" si="457">1-(+M74-1)^12</f>
        <v>8.0953249230741875E-6</v>
      </c>
      <c r="O74" s="6">
        <f t="shared" ref="O74" si="458">AVERAGE(N72:N74)</f>
        <v>6.573609101275431E-3</v>
      </c>
      <c r="P74" s="6">
        <f t="shared" ref="P74" si="459">AVERAGE(N69:N74)</f>
        <v>2.0459746502912251E-2</v>
      </c>
      <c r="Q74" s="27">
        <f t="shared" ref="Q74" si="460">AVERAGE(N63:N74)</f>
        <v>3.362962384514126E-2</v>
      </c>
      <c r="R74" s="2">
        <f>'[17]Parts 4 - 6 '!$C$46</f>
        <v>0</v>
      </c>
      <c r="S74" s="26">
        <f>'[17]Parts 7-10'!$C$4</f>
        <v>42770755.299999997</v>
      </c>
      <c r="T74" s="26">
        <f>'[17]Parts 7-10'!$E$4</f>
        <v>634370.59</v>
      </c>
      <c r="U74" s="26">
        <f>'[17]Parts 7-10'!$F$4</f>
        <v>286021.43</v>
      </c>
      <c r="V74" s="26">
        <f>'[17]Parts 7-10'!$G$4</f>
        <v>11878.72</v>
      </c>
      <c r="W74" s="26">
        <f>'[17]Parts 7-10'!$H$4</f>
        <v>123639.82</v>
      </c>
      <c r="X74" s="26">
        <f>'[17]Parts 7-10'!$J$4</f>
        <v>78011.11</v>
      </c>
      <c r="Y74" s="38">
        <f>'[18]Parts 2 - 3'!$C$18</f>
        <v>32829.69</v>
      </c>
      <c r="Z74" s="26">
        <f t="shared" ref="Z74" si="461">+Z73+Y74</f>
        <v>1055255.2099999997</v>
      </c>
      <c r="AA74" s="4">
        <f t="shared" ref="AA74" si="462">+Z74/$D$4</f>
        <v>1.4070045924665823E-2</v>
      </c>
      <c r="AB74" s="2">
        <f>'[17]Part 11'!$V$8</f>
        <v>35465928.389000013</v>
      </c>
      <c r="AC74" s="4">
        <f t="shared" ref="AC74" si="463">+AB74/AB$4</f>
        <v>0.51964730240293056</v>
      </c>
      <c r="AD74" s="25">
        <f t="shared" si="402"/>
        <v>29230160.760164846</v>
      </c>
      <c r="AE74" s="2">
        <f>'[17]Part 11'!$V$9</f>
        <v>6000000</v>
      </c>
      <c r="AF74" s="8">
        <f t="shared" ref="AF74" si="464">+AE74/$AE$4</f>
        <v>1</v>
      </c>
      <c r="AG74" s="2">
        <f>'[17]Part 11'!$V$10</f>
        <v>750000</v>
      </c>
      <c r="AH74" s="8">
        <f t="shared" ref="AH74" si="465">+AG74/$AG$4</f>
        <v>1</v>
      </c>
      <c r="AI74" s="8">
        <f t="shared" ref="AI74" si="466">+AB74/D74</f>
        <v>0.80181790951161669</v>
      </c>
      <c r="AJ74" s="2">
        <f t="shared" si="406"/>
        <v>354659.28389000014</v>
      </c>
      <c r="AK74" s="4">
        <f t="shared" ref="AK74" si="467">((+D74+AJ74)-AB74)/D74</f>
        <v>0.20620026958349952</v>
      </c>
      <c r="AL74" s="4">
        <f t="shared" ref="AL74" si="468">+S74/$D74</f>
        <v>0.96696630148036711</v>
      </c>
      <c r="AM74" s="4">
        <f t="shared" ref="AM74" si="469">+T74/$D74</f>
        <v>1.4341925431936863E-2</v>
      </c>
      <c r="AN74" s="4">
        <f t="shared" ref="AN74" si="470">+U74/$D74</f>
        <v>6.4664063650806212E-3</v>
      </c>
      <c r="AO74" s="4">
        <f t="shared" ref="AO74" si="471">+V74/$D74</f>
        <v>2.6855550864496579E-4</v>
      </c>
      <c r="AP74" s="4">
        <f t="shared" ref="AP74" si="472">+W74/$D74</f>
        <v>2.7952636941414579E-3</v>
      </c>
      <c r="AQ74" s="4">
        <f t="shared" ref="AQ74" si="473">+X74/$D74</f>
        <v>1.7636844143147055E-3</v>
      </c>
      <c r="AR74" s="4">
        <f t="shared" ref="AR74" si="474">+Y74/$D74</f>
        <v>7.4221751978382751E-4</v>
      </c>
    </row>
    <row r="75" spans="1:44" x14ac:dyDescent="0.25">
      <c r="A75">
        <f t="shared" si="26"/>
        <v>71</v>
      </c>
      <c r="B75" s="3">
        <f t="shared" si="90"/>
        <v>44027</v>
      </c>
      <c r="C75" s="41">
        <f>'[19]Part 1'!$C$18</f>
        <v>2033</v>
      </c>
      <c r="D75" s="2">
        <f>'[19]Part 1'!$C$22</f>
        <v>43847454.140000001</v>
      </c>
      <c r="E75" s="8">
        <f t="shared" ref="E75" si="475">+D75/D$4</f>
        <v>0.58463174366083326</v>
      </c>
      <c r="F75" s="1">
        <f>'[19]Parts 2 - 3'!$C$49</f>
        <v>74211.41</v>
      </c>
      <c r="G75" s="1"/>
      <c r="H75" s="1"/>
      <c r="I75" s="1"/>
      <c r="J75" s="1"/>
      <c r="K75" s="1"/>
      <c r="L75" s="1"/>
      <c r="M75" s="6">
        <f t="shared" ref="M75" si="476">+F75/D74</f>
        <v>1.6777803466880357E-3</v>
      </c>
      <c r="N75" s="6">
        <f t="shared" ref="N75" si="477">1-(+M75-1)^12</f>
        <v>1.9948612783334041E-2</v>
      </c>
      <c r="O75" s="6">
        <f t="shared" ref="O75" si="478">AVERAGE(N73:N75)</f>
        <v>6.6758160427176083E-3</v>
      </c>
      <c r="P75" s="6">
        <f t="shared" ref="P75" si="479">AVERAGE(N70:N75)</f>
        <v>2.1191506439126612E-2</v>
      </c>
      <c r="Q75" s="27">
        <f t="shared" ref="Q75" si="480">AVERAGE(N64:N75)</f>
        <v>3.1409461007400691E-2</v>
      </c>
      <c r="R75" s="2">
        <f>'[19]Parts 4 - 6 '!$C$46</f>
        <v>0</v>
      </c>
      <c r="S75" s="26">
        <f>'[19]Parts 7-10'!$C$4</f>
        <v>42271041.610000007</v>
      </c>
      <c r="T75" s="26">
        <f>'[19]Parts 7-10'!$E$4</f>
        <v>654434.78</v>
      </c>
      <c r="U75" s="26">
        <f>'[19]Parts 7-10'!$F$4</f>
        <v>318184.07</v>
      </c>
      <c r="V75" s="26">
        <f>'[19]Parts 7-10'!$G$4</f>
        <v>70588.98</v>
      </c>
      <c r="W75" s="26">
        <f>'[19]Parts 7-10'!$H$4</f>
        <v>43413.84</v>
      </c>
      <c r="X75" s="26">
        <f>'[19]Parts 7-10'!$J$4</f>
        <v>141011.63</v>
      </c>
      <c r="Y75" s="38">
        <f>'[20]Parts 2 - 3'!$C$18</f>
        <v>0</v>
      </c>
      <c r="Z75" s="26">
        <f t="shared" ref="Z75" si="481">+Z74+Y75</f>
        <v>1055255.2099999997</v>
      </c>
      <c r="AA75" s="4">
        <f t="shared" ref="AA75" si="482">+Z75/$D$4</f>
        <v>1.4070045924665823E-2</v>
      </c>
      <c r="AB75" s="2">
        <f>'[19]Part 11'!$V$8</f>
        <v>35319821.61900001</v>
      </c>
      <c r="AC75" s="4">
        <f t="shared" ref="AC75" si="483">+AB75/AB$4</f>
        <v>0.517506543868132</v>
      </c>
      <c r="AD75" s="25">
        <f t="shared" si="402"/>
        <v>29109743.092582423</v>
      </c>
      <c r="AE75" s="2">
        <f>'[19]Part 11'!$V$9</f>
        <v>6000000</v>
      </c>
      <c r="AF75" s="8">
        <f t="shared" ref="AF75" si="484">+AE75/$AE$4</f>
        <v>1</v>
      </c>
      <c r="AG75" s="2">
        <f>'[19]Part 11'!$V$10</f>
        <v>750000</v>
      </c>
      <c r="AH75" s="8">
        <f t="shared" ref="AH75" si="485">+AG75/$AG$4</f>
        <v>1</v>
      </c>
      <c r="AI75" s="8">
        <f t="shared" ref="AI75" si="486">+AB75/D75</f>
        <v>0.80551590307222365</v>
      </c>
      <c r="AJ75" s="2">
        <f t="shared" si="406"/>
        <v>353198.21619000012</v>
      </c>
      <c r="AK75" s="4">
        <f t="shared" ref="AK75" si="487">((+D75+AJ75)-AB75)/D75</f>
        <v>0.2025392559584987</v>
      </c>
      <c r="AL75" s="4">
        <f t="shared" ref="AL75" si="488">+S75/$D75</f>
        <v>0.9640477979641261</v>
      </c>
      <c r="AM75" s="4">
        <f t="shared" ref="AM75" si="489">+T75/$D75</f>
        <v>1.4925262887794197E-2</v>
      </c>
      <c r="AN75" s="4">
        <f t="shared" ref="AN75" si="490">+U75/$D75</f>
        <v>7.2566144657811599E-3</v>
      </c>
      <c r="AO75" s="4">
        <f t="shared" ref="AO75" si="491">+V75/$D75</f>
        <v>1.6098763630521696E-3</v>
      </c>
      <c r="AP75" s="4">
        <f t="shared" ref="AP75" si="492">+W75/$D75</f>
        <v>9.9011084797271179E-4</v>
      </c>
      <c r="AQ75" s="4">
        <f t="shared" ref="AQ75" si="493">+X75/$D75</f>
        <v>3.2159593473720435E-3</v>
      </c>
      <c r="AR75" s="4">
        <f t="shared" ref="AR75" si="494">+Y75/$D75</f>
        <v>0</v>
      </c>
    </row>
    <row r="76" spans="1:44" x14ac:dyDescent="0.25">
      <c r="A76">
        <f t="shared" si="26"/>
        <v>72</v>
      </c>
      <c r="B76" s="3">
        <f t="shared" si="90"/>
        <v>44058</v>
      </c>
      <c r="C76" s="41">
        <f>'[21]Part 1'!$C$18</f>
        <v>2033</v>
      </c>
      <c r="D76" s="2">
        <f>'[21]Part 1'!$C$22</f>
        <v>43847454.140000001</v>
      </c>
      <c r="E76" s="8">
        <f t="shared" ref="E76" si="495">+D76/D$4</f>
        <v>0.58463174366083326</v>
      </c>
      <c r="F76" s="1">
        <f>'[21]Parts 2 - 3'!$C$49</f>
        <v>74211.41</v>
      </c>
      <c r="G76" s="1"/>
      <c r="H76" s="1"/>
      <c r="I76" s="1"/>
      <c r="J76" s="1"/>
      <c r="K76" s="1"/>
      <c r="L76" s="1"/>
      <c r="M76" s="6">
        <f t="shared" ref="M76" si="496">+F76/D75</f>
        <v>1.692490737616175E-3</v>
      </c>
      <c r="N76" s="6">
        <f t="shared" ref="N76" si="497">1-(+M76-1)^12</f>
        <v>2.0121892757458681E-2</v>
      </c>
      <c r="O76" s="6">
        <f t="shared" ref="O76" si="498">AVERAGE(N74:N76)</f>
        <v>1.3359533621905265E-2</v>
      </c>
      <c r="P76" s="6">
        <f t="shared" ref="P76" si="499">AVERAGE(N71:N76)</f>
        <v>1.7540811930324158E-2</v>
      </c>
      <c r="Q76" s="27">
        <f t="shared" ref="Q76" si="500">AVERAGE(N65:N76)</f>
        <v>2.6088880190812107E-2</v>
      </c>
      <c r="R76" s="2">
        <f>'[21]Parts 4 - 6 '!$C$46</f>
        <v>0</v>
      </c>
      <c r="S76" s="26">
        <f>'[21]Parts 7-10'!$C$4</f>
        <v>42271041.610000007</v>
      </c>
      <c r="T76" s="26">
        <f>'[21]Parts 7-10'!$E$4</f>
        <v>654434.78</v>
      </c>
      <c r="U76" s="26">
        <f>'[21]Parts 7-10'!$F$4</f>
        <v>318184.07</v>
      </c>
      <c r="V76" s="26">
        <f>'[21]Parts 7-10'!$G$4</f>
        <v>70588.98</v>
      </c>
      <c r="W76" s="26">
        <f>'[21]Parts 7-10'!$H$4</f>
        <v>43413.84</v>
      </c>
      <c r="X76" s="26">
        <f>'[21]Parts 7-10'!$J$4</f>
        <v>141011.63</v>
      </c>
      <c r="Y76" s="38">
        <f>'[22]Parts 2 - 3'!$C$18</f>
        <v>19627.22</v>
      </c>
      <c r="Z76" s="26">
        <f t="shared" ref="Z76" si="501">+Z75+Y76</f>
        <v>1074882.4299999997</v>
      </c>
      <c r="AA76" s="4">
        <f t="shared" ref="AA76" si="502">+Z76/$D$4</f>
        <v>1.4331741753463028E-2</v>
      </c>
      <c r="AB76" s="2">
        <f>'[21]Part 11'!$V$8</f>
        <v>35319821.61900001</v>
      </c>
      <c r="AC76" s="4">
        <f t="shared" ref="AC76" si="503">+AB76/AB$4</f>
        <v>0.517506543868132</v>
      </c>
      <c r="AD76" s="25">
        <f t="shared" si="402"/>
        <v>29109743.092582423</v>
      </c>
      <c r="AE76" s="2">
        <f>'[21]Part 11'!$V$9</f>
        <v>6000000</v>
      </c>
      <c r="AF76" s="8">
        <f t="shared" ref="AF76" si="504">+AE76/$AE$4</f>
        <v>1</v>
      </c>
      <c r="AG76" s="2">
        <f>'[21]Part 11'!$V$10</f>
        <v>750000</v>
      </c>
      <c r="AH76" s="8">
        <f t="shared" ref="AH76" si="505">+AG76/$AG$4</f>
        <v>1</v>
      </c>
      <c r="AI76" s="8">
        <f t="shared" ref="AI76" si="506">+AB76/D76</f>
        <v>0.80551590307222365</v>
      </c>
      <c r="AJ76" s="2">
        <f t="shared" si="406"/>
        <v>353198.21619000012</v>
      </c>
      <c r="AK76" s="4">
        <f t="shared" ref="AK76" si="507">((+D76+AJ76)-AB76)/D76</f>
        <v>0.2025392559584987</v>
      </c>
      <c r="AL76" s="4">
        <f t="shared" ref="AL76" si="508">+S76/$D76</f>
        <v>0.9640477979641261</v>
      </c>
      <c r="AM76" s="4">
        <f t="shared" ref="AM76" si="509">+T76/$D76</f>
        <v>1.4925262887794197E-2</v>
      </c>
      <c r="AN76" s="4">
        <f t="shared" ref="AN76" si="510">+U76/$D76</f>
        <v>7.2566144657811599E-3</v>
      </c>
      <c r="AO76" s="4">
        <f t="shared" ref="AO76" si="511">+V76/$D76</f>
        <v>1.6098763630521696E-3</v>
      </c>
      <c r="AP76" s="4">
        <f t="shared" ref="AP76" si="512">+W76/$D76</f>
        <v>9.9011084797271179E-4</v>
      </c>
      <c r="AQ76" s="4">
        <f t="shared" ref="AQ76" si="513">+X76/$D76</f>
        <v>3.2159593473720435E-3</v>
      </c>
      <c r="AR76" s="4">
        <f t="shared" ref="AR76" si="514">+Y76/$D76</f>
        <v>4.4762507618646431E-4</v>
      </c>
    </row>
    <row r="77" spans="1:44" x14ac:dyDescent="0.25">
      <c r="A77">
        <f t="shared" si="26"/>
        <v>73</v>
      </c>
      <c r="B77" s="3">
        <f t="shared" si="90"/>
        <v>44089</v>
      </c>
      <c r="C77" s="41">
        <f>'[23]Part 1'!$C$18</f>
        <v>2026</v>
      </c>
      <c r="D77" s="2">
        <f>'[23]Part 1'!$C$22</f>
        <v>43491313.340000004</v>
      </c>
      <c r="E77" s="8">
        <f t="shared" ref="E77" si="515">+D77/D$4</f>
        <v>0.57988320760608381</v>
      </c>
      <c r="F77" s="1">
        <f>'[23]Parts 2 - 3'!$C$49</f>
        <v>144.31</v>
      </c>
      <c r="G77" s="1"/>
      <c r="H77" s="1"/>
      <c r="I77" s="1"/>
      <c r="J77" s="1"/>
      <c r="K77" s="1"/>
      <c r="L77" s="1"/>
      <c r="M77" s="6">
        <f t="shared" ref="M77" si="516">+F77/D76</f>
        <v>3.2911830990058023E-6</v>
      </c>
      <c r="N77" s="6">
        <f t="shared" ref="N77" si="517">1-(+M77-1)^12</f>
        <v>3.9493482291819149E-5</v>
      </c>
      <c r="O77" s="6">
        <f t="shared" ref="O77" si="518">AVERAGE(N75:N77)</f>
        <v>1.3369999674361513E-2</v>
      </c>
      <c r="P77" s="6">
        <f t="shared" ref="P77" si="519">AVERAGE(N72:N77)</f>
        <v>9.9718043878184726E-3</v>
      </c>
      <c r="Q77" s="27">
        <f t="shared" ref="Q77" si="520">AVERAGE(N66:N77)</f>
        <v>2.2884203971028777E-2</v>
      </c>
      <c r="R77" s="2">
        <f>'[23]Parts 4 - 6 '!$C$46</f>
        <v>0</v>
      </c>
      <c r="S77" s="26">
        <f>'[23]Parts 7-10'!$C$4</f>
        <v>41018730.990000002</v>
      </c>
      <c r="T77" s="26">
        <f>'[23]Parts 7-10'!$E$4</f>
        <v>1123888.8899999999</v>
      </c>
      <c r="U77" s="26">
        <f>'[23]Parts 7-10'!$F$4</f>
        <v>546951.88</v>
      </c>
      <c r="V77" s="26">
        <f>'[23]Parts 7-10'!$G$4</f>
        <v>185237.47</v>
      </c>
      <c r="W77" s="26">
        <f>'[23]Parts 7-10'!$H$4</f>
        <v>54035.64</v>
      </c>
      <c r="X77" s="26">
        <f>'[23]Parts 7-10'!$J$4</f>
        <v>84517.62</v>
      </c>
      <c r="Y77" s="38">
        <f>'[24]Parts 2 - 3'!$C$18</f>
        <v>60803.630000000005</v>
      </c>
      <c r="Z77" s="26">
        <f t="shared" ref="Z77" si="521">+Z76+Y77</f>
        <v>1135686.0599999996</v>
      </c>
      <c r="AA77" s="4">
        <f t="shared" ref="AA77" si="522">+Z77/$D$4</f>
        <v>1.5142455463643513E-2</v>
      </c>
      <c r="AB77" s="2">
        <f>'[23]Part 11'!$V$8</f>
        <v>35059794.669000015</v>
      </c>
      <c r="AC77" s="4">
        <f t="shared" ref="AC77" si="523">+AB77/AB$4</f>
        <v>0.51369662518681336</v>
      </c>
      <c r="AD77" s="25">
        <f t="shared" ref="AD77" si="524">+$AD$2*AB77</f>
        <v>28895435.166758254</v>
      </c>
      <c r="AE77" s="2">
        <f>'[23]Part 11'!$V$9</f>
        <v>6000000</v>
      </c>
      <c r="AF77" s="8">
        <f t="shared" ref="AF77" si="525">+AE77/$AE$4</f>
        <v>1</v>
      </c>
      <c r="AG77" s="2">
        <f>'[23]Part 11'!$V$10</f>
        <v>750000</v>
      </c>
      <c r="AH77" s="8">
        <f t="shared" ref="AH77" si="526">+AG77/$AG$4</f>
        <v>1</v>
      </c>
      <c r="AI77" s="8">
        <f t="shared" ref="AI77" si="527">+AB77/D77</f>
        <v>0.8061332706813128</v>
      </c>
      <c r="AJ77" s="2">
        <f t="shared" ref="AJ77" si="528">+AB77*0.01</f>
        <v>350597.94669000013</v>
      </c>
      <c r="AK77" s="4">
        <f t="shared" ref="AK77" si="529">((+D77+AJ77)-AB77)/D77</f>
        <v>0.20192806202550032</v>
      </c>
      <c r="AL77" s="4">
        <f t="shared" ref="AL77" si="530">+S77/$D77</f>
        <v>0.94314767340617633</v>
      </c>
      <c r="AM77" s="4">
        <f t="shared" ref="AM77" si="531">+T77/$D77</f>
        <v>2.5841686619436539E-2</v>
      </c>
      <c r="AN77" s="4">
        <f t="shared" ref="AN77" si="532">+U77/$D77</f>
        <v>1.2576117803666215E-2</v>
      </c>
      <c r="AO77" s="4">
        <f t="shared" ref="AO77" si="533">+V77/$D77</f>
        <v>4.2591831741634863E-3</v>
      </c>
      <c r="AP77" s="4">
        <f t="shared" ref="AP77" si="534">+W77/$D77</f>
        <v>1.2424467290184618E-3</v>
      </c>
      <c r="AQ77" s="4">
        <f t="shared" ref="AQ77" si="535">+X77/$D77</f>
        <v>1.9433218615237152E-3</v>
      </c>
      <c r="AR77" s="4">
        <f t="shared" ref="AR77" si="536">+Y77/$D77</f>
        <v>1.3980637817179332E-3</v>
      </c>
    </row>
    <row r="78" spans="1:44" x14ac:dyDescent="0.25">
      <c r="A78">
        <f t="shared" si="26"/>
        <v>74</v>
      </c>
      <c r="B78" s="3">
        <f t="shared" si="90"/>
        <v>44119</v>
      </c>
      <c r="C78" s="41">
        <f>'[25]Part 1'!$C$18</f>
        <v>2022</v>
      </c>
      <c r="D78" s="2">
        <f>'[25]Part 1'!$C$22</f>
        <v>43318164.649999999</v>
      </c>
      <c r="E78" s="8">
        <f t="shared" ref="E78" si="537">+D78/D$4</f>
        <v>0.57757456226890913</v>
      </c>
      <c r="F78" s="1">
        <f>'[25]Parts 2 - 3'!$C$49</f>
        <v>24892.06</v>
      </c>
      <c r="G78" s="1"/>
      <c r="H78" s="1"/>
      <c r="I78" s="1"/>
      <c r="J78" s="1"/>
      <c r="K78" s="1"/>
      <c r="L78" s="1"/>
      <c r="M78" s="6">
        <f t="shared" ref="M78" si="538">+F78/D77</f>
        <v>5.7234555796010361E-4</v>
      </c>
      <c r="N78" s="6">
        <f t="shared" ref="N78" si="539">1-(+M78-1)^12</f>
        <v>6.846567647063595E-3</v>
      </c>
      <c r="O78" s="6">
        <f t="shared" ref="O78" si="540">AVERAGE(N76:N78)</f>
        <v>9.0026512956046991E-3</v>
      </c>
      <c r="P78" s="6">
        <f t="shared" ref="P78" si="541">AVERAGE(N73:N78)</f>
        <v>7.8392336691611528E-3</v>
      </c>
      <c r="Q78" s="27">
        <f t="shared" ref="Q78" si="542">AVERAGE(N67:N78)</f>
        <v>2.0758115086525863E-2</v>
      </c>
      <c r="R78" s="2">
        <f>'[25]Parts 4 - 6 '!$C$46</f>
        <v>0</v>
      </c>
      <c r="S78" s="26">
        <f>'[25]Parts 7-10'!$C$4</f>
        <v>40620779.369999997</v>
      </c>
      <c r="T78" s="26">
        <f>'[25]Parts 7-10'!$E$4</f>
        <v>1298433.58</v>
      </c>
      <c r="U78" s="26">
        <f>'[25]Parts 7-10'!$F$4</f>
        <v>493850.05</v>
      </c>
      <c r="V78" s="26">
        <f>'[25]Parts 7-10'!$G$4</f>
        <v>286069.15000000002</v>
      </c>
      <c r="W78" s="26">
        <f>'[25]Parts 7-10'!$H$4</f>
        <v>93098.87</v>
      </c>
      <c r="X78" s="26">
        <f>'[25]Parts 7-10'!$J$4</f>
        <v>23405.599999999999</v>
      </c>
      <c r="Y78" s="38">
        <f>'[26]Parts 2 - 3'!$C$18</f>
        <v>23074.85</v>
      </c>
      <c r="Z78" s="26">
        <f t="shared" ref="Z78" si="543">+Z77+Y78</f>
        <v>1158760.9099999997</v>
      </c>
      <c r="AA78" s="4">
        <f t="shared" ref="AA78" si="544">+Z78/$D$4</f>
        <v>1.5450119615526522E-2</v>
      </c>
      <c r="AB78" s="2">
        <f>'[25]Part 11'!$V$8</f>
        <v>34928769.119000018</v>
      </c>
      <c r="AC78" s="4">
        <f t="shared" ref="AC78" si="545">+AB78/AB$4</f>
        <v>0.51177683690842513</v>
      </c>
      <c r="AD78" s="25">
        <f t="shared" ref="AD78" si="546">+$AD$2*AB78</f>
        <v>28787447.076098915</v>
      </c>
      <c r="AE78" s="2">
        <f>'[25]Part 11'!$V$9</f>
        <v>6000000</v>
      </c>
      <c r="AF78" s="8">
        <f t="shared" ref="AF78" si="547">+AE78/$AE$4</f>
        <v>1</v>
      </c>
      <c r="AG78" s="2">
        <f>'[25]Part 11'!$V$10</f>
        <v>750000</v>
      </c>
      <c r="AH78" s="8">
        <f t="shared" ref="AH78" si="548">+AG78/$AG$4</f>
        <v>1</v>
      </c>
      <c r="AI78" s="8">
        <f t="shared" ref="AI78" si="549">+AB78/D78</f>
        <v>0.80633077142616238</v>
      </c>
      <c r="AJ78" s="2">
        <f t="shared" ref="AJ78:AJ83" si="550">+AB78*0.01</f>
        <v>349287.69119000016</v>
      </c>
      <c r="AK78" s="4">
        <f t="shared" ref="AK78" si="551">((+D78+AJ78)-AB78)/D78</f>
        <v>0.20173253628809915</v>
      </c>
      <c r="AL78" s="4">
        <f t="shared" ref="AL78" si="552">+S78/$D78</f>
        <v>0.93773085028430447</v>
      </c>
      <c r="AM78" s="4">
        <f t="shared" ref="AM78" si="553">+T78/$D78</f>
        <v>2.9974344261605279E-2</v>
      </c>
      <c r="AN78" s="4">
        <f t="shared" ref="AN78" si="554">+U78/$D78</f>
        <v>1.1400530331563805E-2</v>
      </c>
      <c r="AO78" s="4">
        <f t="shared" ref="AO78" si="555">+V78/$D78</f>
        <v>6.6039074441719223E-3</v>
      </c>
      <c r="AP78" s="4">
        <f t="shared" ref="AP78" si="556">+W78/$D78</f>
        <v>2.1491877772804023E-3</v>
      </c>
      <c r="AQ78" s="4">
        <f t="shared" ref="AQ78" si="557">+X78/$D78</f>
        <v>5.4031836734338653E-4</v>
      </c>
      <c r="AR78" s="4">
        <f t="shared" ref="AR78" si="558">+Y78/$D78</f>
        <v>5.3268300230259176E-4</v>
      </c>
    </row>
    <row r="79" spans="1:44" x14ac:dyDescent="0.25">
      <c r="A79">
        <f t="shared" si="26"/>
        <v>75</v>
      </c>
      <c r="B79" s="3">
        <f t="shared" si="90"/>
        <v>44150</v>
      </c>
      <c r="C79" s="41">
        <f>'[27]Part 1'!$C$18</f>
        <v>2022</v>
      </c>
      <c r="D79" s="2">
        <f>'[27]Part 1'!$C$22</f>
        <v>43318164.649999999</v>
      </c>
      <c r="E79" s="8">
        <f t="shared" ref="E79" si="559">+D79/D$4</f>
        <v>0.57757456226890913</v>
      </c>
      <c r="F79" s="1">
        <f>'[27]Parts 2 - 3'!$C$49</f>
        <v>24892.06</v>
      </c>
      <c r="G79" s="1"/>
      <c r="H79" s="1"/>
      <c r="I79" s="1"/>
      <c r="J79" s="1"/>
      <c r="K79" s="1"/>
      <c r="L79" s="1"/>
      <c r="M79" s="6">
        <f t="shared" ref="M79" si="560">+F79/D78</f>
        <v>5.7463330224448927E-4</v>
      </c>
      <c r="N79" s="6">
        <f t="shared" ref="N79" si="561">1-(+M79-1)^12</f>
        <v>6.8738478905920886E-3</v>
      </c>
      <c r="O79" s="6">
        <f t="shared" ref="O79" si="562">AVERAGE(N77:N79)</f>
        <v>4.5866363399825012E-3</v>
      </c>
      <c r="P79" s="6">
        <f t="shared" ref="P79" si="563">AVERAGE(N74:N79)</f>
        <v>8.9730849809438826E-3</v>
      </c>
      <c r="Q79" s="27">
        <f t="shared" ref="Q79" si="564">AVERAGE(N68:N79)</f>
        <v>1.8048669762817226E-2</v>
      </c>
      <c r="R79" s="2">
        <f>'[27]Parts 4 - 6 '!$C$46</f>
        <v>0</v>
      </c>
      <c r="S79" s="26">
        <f>'[27]Parts 7-10'!$C$4</f>
        <v>40620779.369999997</v>
      </c>
      <c r="T79" s="26">
        <f>'[27]Parts 7-10'!$E$4</f>
        <v>1298433.58</v>
      </c>
      <c r="U79" s="26">
        <f>'[27]Parts 7-10'!$F$4</f>
        <v>493850.05</v>
      </c>
      <c r="V79" s="26">
        <f>'[27]Parts 7-10'!$G$4</f>
        <v>286069.15000000002</v>
      </c>
      <c r="W79" s="26">
        <f>'[27]Parts 7-10'!$H$4</f>
        <v>93098.87</v>
      </c>
      <c r="X79" s="26">
        <f>'[27]Parts 7-10'!$J$4</f>
        <v>23405.599999999999</v>
      </c>
      <c r="Y79" s="38">
        <f>'[28]Parts 2 - 3'!$C$18</f>
        <v>86487.459999999992</v>
      </c>
      <c r="Z79" s="26">
        <f t="shared" ref="Z79" si="565">+Z78+Y79</f>
        <v>1245248.3699999996</v>
      </c>
      <c r="AA79" s="4">
        <f t="shared" ref="AA79" si="566">+Z79/$D$4</f>
        <v>1.6603283819385511E-2</v>
      </c>
      <c r="AB79" s="2">
        <f>'[27]Part 11'!$V$8</f>
        <v>34928769.119000018</v>
      </c>
      <c r="AC79" s="4">
        <f t="shared" ref="AC79" si="567">+AB79/AB$4</f>
        <v>0.51177683690842513</v>
      </c>
      <c r="AD79" s="25">
        <f t="shared" ref="AD79" si="568">+$AD$2*AB79</f>
        <v>28787447.076098915</v>
      </c>
      <c r="AE79" s="2">
        <f>'[27]Part 11'!$V$9</f>
        <v>6000000</v>
      </c>
      <c r="AF79" s="8">
        <f t="shared" ref="AF79" si="569">+AE79/$AE$4</f>
        <v>1</v>
      </c>
      <c r="AG79" s="2">
        <f>'[27]Part 11'!$V$10</f>
        <v>750000</v>
      </c>
      <c r="AH79" s="8">
        <f t="shared" ref="AH79" si="570">+AG79/$AG$4</f>
        <v>1</v>
      </c>
      <c r="AI79" s="8">
        <f t="shared" ref="AI79" si="571">+AB79/D79</f>
        <v>0.80633077142616238</v>
      </c>
      <c r="AJ79" s="2">
        <f t="shared" si="550"/>
        <v>349287.69119000016</v>
      </c>
      <c r="AK79" s="4">
        <f t="shared" ref="AK79" si="572">((+D79+AJ79)-AB79)/D79</f>
        <v>0.20173253628809915</v>
      </c>
      <c r="AL79" s="4">
        <f t="shared" ref="AL79" si="573">+S79/$D79</f>
        <v>0.93773085028430447</v>
      </c>
      <c r="AM79" s="4">
        <f t="shared" ref="AM79" si="574">+T79/$D79</f>
        <v>2.9974344261605279E-2</v>
      </c>
      <c r="AN79" s="4">
        <f t="shared" ref="AN79" si="575">+U79/$D79</f>
        <v>1.1400530331563805E-2</v>
      </c>
      <c r="AO79" s="4">
        <f t="shared" ref="AO79" si="576">+V79/$D79</f>
        <v>6.6039074441719223E-3</v>
      </c>
      <c r="AP79" s="4">
        <f t="shared" ref="AP79" si="577">+W79/$D79</f>
        <v>2.1491877772804023E-3</v>
      </c>
      <c r="AQ79" s="4">
        <f t="shared" ref="AQ79" si="578">+X79/$D79</f>
        <v>5.4031836734338653E-4</v>
      </c>
      <c r="AR79" s="4">
        <f t="shared" ref="AR79" si="579">+Y79/$D79</f>
        <v>1.9965633516285182E-3</v>
      </c>
    </row>
    <row r="80" spans="1:44" x14ac:dyDescent="0.25">
      <c r="A80">
        <f t="shared" si="26"/>
        <v>76</v>
      </c>
      <c r="B80" s="3">
        <f t="shared" si="90"/>
        <v>44180</v>
      </c>
      <c r="C80" s="41">
        <f>'[29]Part 1'!$C$18</f>
        <v>2010</v>
      </c>
      <c r="D80" s="2">
        <f>'[29]Part 1'!$C$22</f>
        <v>43055538.390000001</v>
      </c>
      <c r="E80" s="8">
        <f t="shared" ref="E80" si="580">+D80/D$4</f>
        <v>0.57407288466124939</v>
      </c>
      <c r="F80" s="1">
        <f>'[29]Parts 2 - 3'!$C$49</f>
        <v>91329.25</v>
      </c>
      <c r="G80" s="1"/>
      <c r="H80" s="1"/>
      <c r="I80" s="1"/>
      <c r="J80" s="1"/>
      <c r="K80" s="1"/>
      <c r="L80" s="1"/>
      <c r="M80" s="6">
        <f t="shared" ref="M80" si="581">+F80/D79</f>
        <v>2.1083360926742313E-3</v>
      </c>
      <c r="N80" s="6">
        <f t="shared" ref="N80" si="582">1-(+M80-1)^12</f>
        <v>2.500870979263814E-2</v>
      </c>
      <c r="O80" s="6">
        <f t="shared" ref="O80" si="583">AVERAGE(N78:N80)</f>
        <v>1.2909708443431275E-2</v>
      </c>
      <c r="P80" s="6">
        <f t="shared" ref="P80" si="584">AVERAGE(N75:N80)</f>
        <v>1.3139854058896394E-2</v>
      </c>
      <c r="Q80" s="27">
        <f t="shared" ref="Q80" si="585">AVERAGE(N69:N80)</f>
        <v>1.6799800280904321E-2</v>
      </c>
      <c r="R80" s="2">
        <f>'[29]Parts 4 - 6 '!$C$46</f>
        <v>0</v>
      </c>
      <c r="S80" s="26">
        <f>'[29]Parts 7-10'!$C$4</f>
        <v>40357231.640000001</v>
      </c>
      <c r="T80" s="26">
        <f>'[29]Parts 7-10'!$E$4</f>
        <v>1300895.51</v>
      </c>
      <c r="U80" s="26">
        <f>'[29]Parts 7-10'!$F$4</f>
        <v>490165.45</v>
      </c>
      <c r="V80" s="26">
        <f>'[29]Parts 7-10'!$G$4</f>
        <v>218009.68</v>
      </c>
      <c r="W80" s="26">
        <f>'[29]Parts 7-10'!$H$4</f>
        <v>123022.22</v>
      </c>
      <c r="X80" s="26">
        <f>'[29]Parts 7-10'!$J$4</f>
        <v>63685.86</v>
      </c>
      <c r="Y80" s="38">
        <f>'[30]Parts 2 - 3'!$C$18</f>
        <v>0</v>
      </c>
      <c r="Z80" s="26">
        <f t="shared" ref="Z80" si="586">+Z79+Y80</f>
        <v>1245248.3699999996</v>
      </c>
      <c r="AA80" s="4">
        <f t="shared" ref="AA80" si="587">+Z80/$D$4</f>
        <v>1.6603283819385511E-2</v>
      </c>
      <c r="AB80" s="2">
        <f>'[29]Part 11'!$V$8</f>
        <v>34710575.99900002</v>
      </c>
      <c r="AC80" s="4">
        <f t="shared" ref="AC80" si="588">+AB80/AB$4</f>
        <v>0.50857986811721645</v>
      </c>
      <c r="AD80" s="25">
        <f t="shared" ref="AD80" si="589">+$AD$2*AB80</f>
        <v>28607617.58159342</v>
      </c>
      <c r="AE80" s="2">
        <f>'[29]Part 11'!$V$9</f>
        <v>6000000</v>
      </c>
      <c r="AF80" s="8">
        <f t="shared" ref="AF80" si="590">+AE80/$AE$4</f>
        <v>1</v>
      </c>
      <c r="AG80" s="2">
        <f>'[29]Part 11'!$V$10</f>
        <v>750000</v>
      </c>
      <c r="AH80" s="8">
        <f t="shared" ref="AH80" si="591">+AG80/$AG$4</f>
        <v>1</v>
      </c>
      <c r="AI80" s="8">
        <f t="shared" ref="AI80" si="592">+AB80/D80</f>
        <v>0.80618144138831238</v>
      </c>
      <c r="AJ80" s="2">
        <f t="shared" si="550"/>
        <v>347105.75999000022</v>
      </c>
      <c r="AK80" s="4">
        <f t="shared" ref="AK80" si="593">((+D80+AJ80)-AB80)/D80</f>
        <v>0.20188037302557069</v>
      </c>
      <c r="AL80" s="4">
        <f t="shared" ref="AL80" si="594">+S80/$D80</f>
        <v>0.93732962469175152</v>
      </c>
      <c r="AM80" s="4">
        <f t="shared" ref="AM80" si="595">+T80/$D80</f>
        <v>3.0214359375010012E-2</v>
      </c>
      <c r="AN80" s="4">
        <f t="shared" ref="AN80" si="596">+U80/$D80</f>
        <v>1.1384492409781245E-2</v>
      </c>
      <c r="AO80" s="4">
        <f t="shared" ref="AO80" si="597">+V80/$D80</f>
        <v>5.0634526509749679E-3</v>
      </c>
      <c r="AP80" s="4">
        <f t="shared" ref="AP80" si="598">+W80/$D80</f>
        <v>2.8572914101237419E-3</v>
      </c>
      <c r="AQ80" s="4">
        <f t="shared" ref="AQ80" si="599">+X80/$D80</f>
        <v>1.4791560477801749E-3</v>
      </c>
      <c r="AR80" s="4">
        <f t="shared" ref="AR80" si="600">+Y80/$D80</f>
        <v>0</v>
      </c>
    </row>
    <row r="81" spans="1:44" x14ac:dyDescent="0.25">
      <c r="A81">
        <f t="shared" si="26"/>
        <v>77</v>
      </c>
      <c r="B81" s="3">
        <f t="shared" si="90"/>
        <v>44211</v>
      </c>
      <c r="C81" s="41">
        <f>'[31]Part 1'!$C$18</f>
        <v>2002</v>
      </c>
      <c r="D81" s="2">
        <f>'[32]Part 1'!$C$22</f>
        <v>42853210.520000003</v>
      </c>
      <c r="E81" s="8">
        <f t="shared" ref="E81" si="601">+D81/D$4</f>
        <v>0.57137518424170852</v>
      </c>
      <c r="F81" s="1">
        <f>'[31]Parts 2 - 3'!$C$49</f>
        <v>51081.63</v>
      </c>
      <c r="G81" s="1"/>
      <c r="H81" s="1"/>
      <c r="I81" s="1"/>
      <c r="J81" s="1"/>
      <c r="K81" s="1"/>
      <c r="L81" s="1"/>
      <c r="M81" s="6">
        <f t="shared" ref="M81" si="602">+F81/D80</f>
        <v>1.186412524616441E-3</v>
      </c>
      <c r="N81" s="6">
        <f t="shared" ref="N81" si="603">1-(+M81-1)^12</f>
        <v>1.4144416779874547E-2</v>
      </c>
      <c r="O81" s="6">
        <f t="shared" ref="O81" si="604">AVERAGE(N79:N81)</f>
        <v>1.5342324821034925E-2</v>
      </c>
      <c r="P81" s="6">
        <f t="shared" ref="P81" si="605">AVERAGE(N76:N81)</f>
        <v>1.2172488058319811E-2</v>
      </c>
      <c r="Q81" s="27">
        <f t="shared" ref="Q81" si="606">AVERAGE(N70:N81)</f>
        <v>1.6681997248723213E-2</v>
      </c>
      <c r="R81" s="2">
        <f>'[32]Parts 4 - 6 '!$C$58</f>
        <v>0</v>
      </c>
      <c r="S81" s="26">
        <f>'[32]Parts 7-10'!$C$4</f>
        <v>40590796.059999995</v>
      </c>
      <c r="T81" s="26">
        <f>'[32]Parts 7-10'!$E$4</f>
        <v>878065.94</v>
      </c>
      <c r="U81" s="26">
        <f>'[32]Parts 7-10'!$F$4</f>
        <v>530938.98</v>
      </c>
      <c r="V81" s="26">
        <f>'[32]Parts 7-10'!$G$4</f>
        <v>206262.95</v>
      </c>
      <c r="W81" s="26">
        <f>'[32]Parts 7-10'!$H$4</f>
        <v>51801.39</v>
      </c>
      <c r="X81" s="26">
        <f>'[32]Parts 7-10'!$J$4</f>
        <v>89116.62</v>
      </c>
      <c r="Y81" s="38">
        <f>'[33]Parts 2 - 3'!$C$18</f>
        <v>22420.7</v>
      </c>
      <c r="Z81" s="26">
        <f t="shared" ref="Z81" si="607">+Z80+Y81</f>
        <v>1267669.0699999996</v>
      </c>
      <c r="AA81" s="4">
        <f t="shared" ref="AA81" si="608">+Z81/$D$4</f>
        <v>1.6902225985862142E-2</v>
      </c>
      <c r="AB81" s="2">
        <f>'[32]Part 11'!$V$8</f>
        <v>34457599.669000022</v>
      </c>
      <c r="AC81" s="4">
        <f t="shared" ref="AC81" si="609">+AB81/AB$4</f>
        <v>0.50487325522344351</v>
      </c>
      <c r="AD81" s="25">
        <f t="shared" ref="AD81" si="610">+$AD$2*AB81</f>
        <v>28399120.606318697</v>
      </c>
      <c r="AE81" s="2">
        <f>'[32]Part 11'!$V$9</f>
        <v>6000000</v>
      </c>
      <c r="AF81" s="8">
        <f t="shared" ref="AF81" si="611">+AE81/$AE$4</f>
        <v>1</v>
      </c>
      <c r="AG81" s="2">
        <f>'[32]Part 11'!$V$10</f>
        <v>750000</v>
      </c>
      <c r="AH81" s="8">
        <f t="shared" ref="AH81" si="612">+AG81/$AG$4</f>
        <v>1</v>
      </c>
      <c r="AI81" s="8">
        <f t="shared" ref="AI81" si="613">+AB81/D81</f>
        <v>0.80408443733564217</v>
      </c>
      <c r="AJ81" s="2">
        <f t="shared" si="550"/>
        <v>344575.99669000023</v>
      </c>
      <c r="AK81" s="4">
        <f t="shared" ref="AK81" si="614">((+D81+AJ81)-AB81)/D81</f>
        <v>0.20395640703771425</v>
      </c>
      <c r="AL81" s="4">
        <f t="shared" ref="AL81" si="615">+S81/$D81</f>
        <v>0.94720548513059211</v>
      </c>
      <c r="AM81" s="4">
        <f t="shared" ref="AM81" si="616">+T81/$D81</f>
        <v>2.0490085324883608E-2</v>
      </c>
      <c r="AN81" s="4">
        <f t="shared" ref="AN81" si="617">+U81/$D81</f>
        <v>1.2389713012335579E-2</v>
      </c>
      <c r="AO81" s="4">
        <f t="shared" ref="AO81" si="618">+V81/$D81</f>
        <v>4.8132438036056864E-3</v>
      </c>
      <c r="AP81" s="4">
        <f t="shared" ref="AP81" si="619">+W81/$D81</f>
        <v>1.2088100137987046E-3</v>
      </c>
      <c r="AQ81" s="4">
        <f t="shared" ref="AQ81" si="620">+X81/$D81</f>
        <v>2.0795786107649606E-3</v>
      </c>
      <c r="AR81" s="4">
        <f t="shared" ref="AR81" si="621">+Y81/$D81</f>
        <v>5.2319767242494113E-4</v>
      </c>
    </row>
    <row r="82" spans="1:44" x14ac:dyDescent="0.25">
      <c r="A82">
        <f t="shared" si="26"/>
        <v>78</v>
      </c>
      <c r="B82" s="3">
        <f t="shared" si="90"/>
        <v>44242</v>
      </c>
      <c r="C82" s="41">
        <f>'[34]Part 1'!$C$18</f>
        <v>1981</v>
      </c>
      <c r="D82" s="2">
        <f>'[35]Part 1'!$C$22</f>
        <v>41979991.240000002</v>
      </c>
      <c r="E82" s="8">
        <f t="shared" ref="E82" si="622">+D82/D$4</f>
        <v>0.55973227998928254</v>
      </c>
      <c r="F82" s="1">
        <f>'[34]Parts 2 - 3'!$C$49</f>
        <v>8438.7999999999993</v>
      </c>
      <c r="G82" s="1"/>
      <c r="H82" s="1"/>
      <c r="I82" s="1"/>
      <c r="J82" s="1"/>
      <c r="K82" s="1"/>
      <c r="L82" s="1"/>
      <c r="M82" s="6">
        <f t="shared" ref="M82" si="623">+F82/D81</f>
        <v>1.9692340194818147E-4</v>
      </c>
      <c r="N82" s="6">
        <f t="shared" ref="N82" si="624">1-(+M82-1)^12</f>
        <v>2.3605231001236904E-3</v>
      </c>
      <c r="O82" s="6">
        <f t="shared" ref="O82" si="625">AVERAGE(N80:N82)</f>
        <v>1.3837883224212125E-2</v>
      </c>
      <c r="P82" s="6">
        <f t="shared" ref="P82" si="626">AVERAGE(N77:N82)</f>
        <v>9.2122597820973127E-3</v>
      </c>
      <c r="Q82" s="27">
        <f t="shared" ref="Q82" si="627">AVERAGE(N71:N82)</f>
        <v>1.3376535856210736E-2</v>
      </c>
      <c r="R82" s="2">
        <f>'[35]Parts 4 - 6 '!$C$58</f>
        <v>0</v>
      </c>
      <c r="S82" s="26">
        <f>'[35]Parts 7-10'!$C$4</f>
        <v>40489518.439999998</v>
      </c>
      <c r="T82" s="26">
        <f>'[35]Parts 7-10'!$E$4</f>
        <v>905237.15</v>
      </c>
      <c r="U82" s="26">
        <f>'[35]Parts 7-10'!$F$4</f>
        <v>364618.49</v>
      </c>
      <c r="V82" s="26">
        <f>'[35]Parts 7-10'!$G$4</f>
        <v>299325.98</v>
      </c>
      <c r="W82" s="26">
        <f>'[35]Parts 7-10'!$H$4</f>
        <v>61735.07</v>
      </c>
      <c r="X82" s="26">
        <f>'[35]Parts 7-10'!$J$4</f>
        <v>17746.990000000002</v>
      </c>
      <c r="Y82" s="38">
        <f>'[36]Parts 7-10'!$O$15</f>
        <v>16054.51</v>
      </c>
      <c r="Z82" s="26">
        <f>+Z81+Y82</f>
        <v>1283723.5799999996</v>
      </c>
      <c r="AA82" s="4">
        <f t="shared" ref="AA82" si="628">+Z82/$D$4</f>
        <v>1.7116285761030661E-2</v>
      </c>
      <c r="AB82" s="2">
        <f>'[35]Part 11'!$V$8</f>
        <v>34457599.669000022</v>
      </c>
      <c r="AC82" s="4">
        <f t="shared" ref="AC82" si="629">+AB82/AB$4</f>
        <v>0.50487325522344351</v>
      </c>
      <c r="AD82" s="25">
        <f t="shared" ref="AD82" si="630">+$AD$2*AB82</f>
        <v>28399120.606318697</v>
      </c>
      <c r="AE82" s="2">
        <f>'[35]Part 11'!$V$9</f>
        <v>6000000</v>
      </c>
      <c r="AF82" s="8">
        <f t="shared" ref="AF82" si="631">+AE82/$AE$4</f>
        <v>1</v>
      </c>
      <c r="AG82" s="2">
        <f>'[35]Part 11'!$V$10</f>
        <v>750000</v>
      </c>
      <c r="AH82" s="8">
        <f t="shared" ref="AH82" si="632">+AG82/$AG$4</f>
        <v>1</v>
      </c>
      <c r="AI82" s="8">
        <f t="shared" ref="AI82" si="633">+AB82/D82</f>
        <v>0.82081007287508956</v>
      </c>
      <c r="AJ82" s="2">
        <f t="shared" si="550"/>
        <v>344575.99669000023</v>
      </c>
      <c r="AK82" s="4">
        <f t="shared" ref="AK82" si="634">((+D82+AJ82)-AB82)/D82</f>
        <v>0.1873980278536613</v>
      </c>
      <c r="AL82" s="4">
        <f t="shared" ref="AL82" si="635">+S82/$D82</f>
        <v>0.9644956381367743</v>
      </c>
      <c r="AM82" s="4">
        <f t="shared" ref="AM82" si="636">+T82/$D82</f>
        <v>2.1563538325311951E-2</v>
      </c>
      <c r="AN82" s="4">
        <f t="shared" ref="AN82" si="637">+U82/$D82</f>
        <v>8.6855303974570329E-3</v>
      </c>
      <c r="AO82" s="4">
        <f t="shared" ref="AO82" si="638">+V82/$D82</f>
        <v>7.1302058709052738E-3</v>
      </c>
      <c r="AP82" s="4">
        <f t="shared" ref="AP82" si="639">+W82/$D82</f>
        <v>1.4705832034852039E-3</v>
      </c>
      <c r="AQ82" s="4">
        <f t="shared" ref="AQ82" si="640">+X82/$D82</f>
        <v>4.2274877806763449E-4</v>
      </c>
      <c r="AR82" s="4">
        <f t="shared" ref="AR82" si="641">+Y82/$D82</f>
        <v>3.8243242853997319E-4</v>
      </c>
    </row>
    <row r="83" spans="1:44" x14ac:dyDescent="0.25">
      <c r="A83">
        <f t="shared" si="26"/>
        <v>79</v>
      </c>
      <c r="B83" s="3">
        <f t="shared" si="90"/>
        <v>44270</v>
      </c>
      <c r="C83" s="41">
        <f>'[37]Part 1'!$C$18</f>
        <v>1997</v>
      </c>
      <c r="D83" s="2">
        <f>'[38]Part 1'!$C$22</f>
        <v>42545839.640000001</v>
      </c>
      <c r="E83" s="8">
        <f t="shared" ref="E83" si="642">+D83/D$4</f>
        <v>0.56727691269893643</v>
      </c>
      <c r="F83" s="1">
        <f>'[37]Parts 2 - 3'!$C$49</f>
        <v>27810.52</v>
      </c>
      <c r="G83" s="1"/>
      <c r="H83" s="1"/>
      <c r="I83" s="1"/>
      <c r="J83" s="1"/>
      <c r="K83" s="1"/>
      <c r="L83" s="1"/>
      <c r="M83" s="6">
        <f t="shared" ref="M83" si="643">+F83/D82</f>
        <v>6.6247083857180907E-4</v>
      </c>
      <c r="N83" s="6">
        <f t="shared" ref="N83" si="644">1-(+M83-1)^12</f>
        <v>7.9207486673736893E-3</v>
      </c>
      <c r="O83" s="6">
        <f t="shared" ref="O83" si="645">AVERAGE(N81:N83)</f>
        <v>8.1418961824573088E-3</v>
      </c>
      <c r="P83" s="6">
        <f t="shared" ref="P83" si="646">AVERAGE(N78:N83)</f>
        <v>1.0525802312944291E-2</v>
      </c>
      <c r="Q83" s="27">
        <f t="shared" ref="Q83" si="647">AVERAGE(N72:N83)</f>
        <v>1.0248803350381383E-2</v>
      </c>
      <c r="R83" s="2">
        <f>'[38]Parts 4 - 6 '!$C$58</f>
        <v>0</v>
      </c>
      <c r="S83" s="26">
        <f>'[38]Parts 7-10'!$C$4</f>
        <v>40170970.049999997</v>
      </c>
      <c r="T83" s="26">
        <f>'[38]Parts 7-10'!$E$4</f>
        <v>963267.1</v>
      </c>
      <c r="U83" s="26">
        <f>'[38]Parts 7-10'!$F$4</f>
        <v>469375.38</v>
      </c>
      <c r="V83" s="26">
        <f>'[38]Parts 7-10'!$G$4</f>
        <v>244266.15</v>
      </c>
      <c r="W83" s="26">
        <f>'[38]Parts 7-10'!$H$4</f>
        <v>111050.46</v>
      </c>
      <c r="X83" s="26">
        <f>'[38]Parts 7-10'!$J$4</f>
        <v>34627.26</v>
      </c>
      <c r="Y83" s="38">
        <f>'[39]Parts 2 - 3'!$C$18</f>
        <v>0</v>
      </c>
      <c r="Z83" s="26">
        <f t="shared" ref="Z83" si="648">+Z82+Y83</f>
        <v>1283723.5799999996</v>
      </c>
      <c r="AA83" s="4">
        <f t="shared" ref="AA83" si="649">+Z83/$D$4</f>
        <v>1.7116285761030661E-2</v>
      </c>
      <c r="AB83" s="2">
        <f>'[38]Part 11'!$V$8</f>
        <v>33398436.469000023</v>
      </c>
      <c r="AC83" s="4">
        <f t="shared" ref="AC83" si="650">+AB83/AB$4</f>
        <v>0.48935438049816882</v>
      </c>
      <c r="AD83" s="25">
        <f t="shared" ref="AD83" si="651">+$AD$2*AB83</f>
        <v>27526183.903021995</v>
      </c>
      <c r="AE83" s="2">
        <f>'[38]Part 11'!$V$9</f>
        <v>6000000</v>
      </c>
      <c r="AF83" s="8">
        <f t="shared" ref="AF83" si="652">+AE83/$AE$4</f>
        <v>1</v>
      </c>
      <c r="AG83" s="2">
        <f>'[38]Part 11'!$V$10</f>
        <v>750000</v>
      </c>
      <c r="AH83" s="8">
        <f t="shared" ref="AH83" si="653">+AG83/$AG$4</f>
        <v>1</v>
      </c>
      <c r="AI83" s="8">
        <f t="shared" ref="AI83" si="654">+AB83/D83</f>
        <v>0.78499888006911178</v>
      </c>
      <c r="AJ83" s="2">
        <f t="shared" si="550"/>
        <v>333984.36469000025</v>
      </c>
      <c r="AK83" s="4">
        <f t="shared" ref="AK83" si="655">((+D83+AJ83)-AB83)/D83</f>
        <v>0.22285110873157929</v>
      </c>
      <c r="AL83" s="4">
        <f t="shared" ref="AL83" si="656">+S83/$D83</f>
        <v>0.94418092085865801</v>
      </c>
      <c r="AM83" s="4">
        <f t="shared" ref="AM83" si="657">+T83/$D83</f>
        <v>2.2640688446876306E-2</v>
      </c>
      <c r="AN83" s="4">
        <f t="shared" ref="AN83" si="658">+U83/$D83</f>
        <v>1.103222745094707E-2</v>
      </c>
      <c r="AO83" s="4">
        <f t="shared" ref="AO83" si="659">+V83/$D83</f>
        <v>5.7412464313044169E-3</v>
      </c>
      <c r="AP83" s="4">
        <f t="shared" ref="AP83" si="660">+W83/$D83</f>
        <v>2.6101367593082954E-3</v>
      </c>
      <c r="AQ83" s="4">
        <f t="shared" ref="AQ83" si="661">+X83/$D83</f>
        <v>8.1388122300552162E-4</v>
      </c>
      <c r="AR83" s="4">
        <f t="shared" ref="AR83" si="662">+Y83/$D83</f>
        <v>0</v>
      </c>
    </row>
    <row r="84" spans="1:44" x14ac:dyDescent="0.25">
      <c r="A84">
        <f t="shared" si="26"/>
        <v>80</v>
      </c>
      <c r="B84" s="3">
        <f t="shared" si="90"/>
        <v>44301</v>
      </c>
      <c r="C84" s="41">
        <f>'[40]Part 1'!$C$18</f>
        <v>1987</v>
      </c>
      <c r="D84" s="2">
        <f>'[40]Part 1'!$C$22</f>
        <v>42187145.740000002</v>
      </c>
      <c r="E84" s="8">
        <f t="shared" ref="E84" si="663">+D84/D$4</f>
        <v>0.56249433536781146</v>
      </c>
      <c r="F84" s="1">
        <f>'[40]Parts 2 - 3'!$C$49</f>
        <v>139670.26</v>
      </c>
      <c r="G84" s="1"/>
      <c r="H84" s="1"/>
      <c r="I84" s="1"/>
      <c r="J84" s="1"/>
      <c r="K84" s="1"/>
      <c r="L84" s="1"/>
      <c r="M84" s="6">
        <f t="shared" ref="M84" si="664">+F84/D83</f>
        <v>3.2828182774582563E-3</v>
      </c>
      <c r="N84" s="6">
        <f t="shared" ref="N84" si="665">1-(+M84-1)^12</f>
        <v>3.8690270304594376E-2</v>
      </c>
      <c r="O84" s="6">
        <f t="shared" ref="O84" si="666">AVERAGE(N82:N84)</f>
        <v>1.6323847357363919E-2</v>
      </c>
      <c r="P84" s="6">
        <f t="shared" ref="P84" si="667">AVERAGE(N79:N84)</f>
        <v>1.5833086089199422E-2</v>
      </c>
      <c r="Q84" s="27">
        <f t="shared" ref="Q84" si="668">AVERAGE(N73:N84)</f>
        <v>1.1836159879180288E-2</v>
      </c>
      <c r="R84" s="2">
        <f>'[40]Parts 4 - 6 '!$C$58</f>
        <v>0</v>
      </c>
      <c r="S84" s="26">
        <f>'[40]Parts 7-10'!$C$4</f>
        <v>40293172.189999998</v>
      </c>
      <c r="T84" s="26">
        <f>'[40]Parts 7-10'!$E$4</f>
        <v>654566.99</v>
      </c>
      <c r="U84" s="26">
        <f>'[40]Parts 7-10'!$F$4</f>
        <v>369357.31</v>
      </c>
      <c r="V84" s="26">
        <f>'[40]Parts 7-10'!$G$4</f>
        <v>262429.59999999998</v>
      </c>
      <c r="W84" s="26">
        <f>'[40]Parts 7-10'!$H$4</f>
        <v>54457.919999999998</v>
      </c>
      <c r="X84" s="26">
        <f>'[40]Parts 7-10'!$J$4</f>
        <v>36608.9</v>
      </c>
      <c r="Y84" s="38">
        <f>'[41]Parts 2 - 3'!$C$18</f>
        <v>16054.51</v>
      </c>
      <c r="Z84" s="26">
        <f t="shared" ref="Z84" si="669">+Z83+Y84</f>
        <v>1299778.0899999996</v>
      </c>
      <c r="AA84" s="4">
        <f t="shared" ref="AA84" si="670">+Z84/$D$4</f>
        <v>1.7330345536199179E-2</v>
      </c>
      <c r="AB84" s="2">
        <f>'[40]Part 11'!$V$8</f>
        <v>32462982.019000024</v>
      </c>
      <c r="AC84" s="4">
        <f t="shared" ref="AC84" si="671">+AB84/AB$4</f>
        <v>0.47564808819047655</v>
      </c>
      <c r="AD84" s="25">
        <f t="shared" ref="AD84" si="672">+$AD$2*AB84</f>
        <v>26755204.960714303</v>
      </c>
      <c r="AE84" s="2">
        <f>'[40]Part 11'!$V$9</f>
        <v>6000000</v>
      </c>
      <c r="AF84" s="8">
        <f t="shared" ref="AF84" si="673">+AE84/$AE$4</f>
        <v>1</v>
      </c>
      <c r="AG84" s="2">
        <f>'[40]Part 11'!$V$10</f>
        <v>750000</v>
      </c>
      <c r="AH84" s="8">
        <f t="shared" ref="AH84" si="674">+AG84/$AG$4</f>
        <v>1</v>
      </c>
      <c r="AI84" s="8">
        <f t="shared" ref="AI84" si="675">+AB84/D84</f>
        <v>0.76949936881413727</v>
      </c>
      <c r="AJ84" s="2">
        <f t="shared" ref="AJ84" si="676">+AB84*0.01</f>
        <v>324629.82019000023</v>
      </c>
      <c r="AK84" s="4">
        <f t="shared" ref="AK84" si="677">((+D84+AJ84)-AB84)/D84</f>
        <v>0.238195624874004</v>
      </c>
      <c r="AL84" s="4">
        <f t="shared" ref="AL84" si="678">+S84/$D84</f>
        <v>0.95510543515618263</v>
      </c>
      <c r="AM84" s="4">
        <f t="shared" ref="AM84" si="679">+T84/$D84</f>
        <v>1.5515792275545398E-2</v>
      </c>
      <c r="AN84" s="4">
        <f t="shared" ref="AN84" si="680">+U84/$D84</f>
        <v>8.7552097569329416E-3</v>
      </c>
      <c r="AO84" s="4">
        <f t="shared" ref="AO84" si="681">+V84/$D84</f>
        <v>6.2206057176125984E-3</v>
      </c>
      <c r="AP84" s="4">
        <f t="shared" ref="AP84" si="682">+W84/$D84</f>
        <v>1.2908652397492107E-3</v>
      </c>
      <c r="AQ84" s="4">
        <f t="shared" ref="AQ84" si="683">+X84/$D84</f>
        <v>8.6777380545299723E-4</v>
      </c>
      <c r="AR84" s="4">
        <f t="shared" ref="AR84" si="684">+Y84/$D84</f>
        <v>3.805545437689523E-4</v>
      </c>
    </row>
    <row r="85" spans="1:44" x14ac:dyDescent="0.25">
      <c r="A85">
        <f t="shared" si="26"/>
        <v>81</v>
      </c>
      <c r="B85" s="3">
        <f t="shared" si="90"/>
        <v>44331</v>
      </c>
      <c r="C85" s="41">
        <f>'[42]Part 1'!$C$18</f>
        <v>1981</v>
      </c>
      <c r="D85" s="2">
        <f>'[42]Part 1'!$C$22</f>
        <v>41979991.240000002</v>
      </c>
      <c r="E85" s="8">
        <f t="shared" ref="E85" si="685">+D85/D$4</f>
        <v>0.55973227998928254</v>
      </c>
      <c r="F85" s="1">
        <f>'[42]Parts 2 - 3'!$C$49</f>
        <v>61703</v>
      </c>
      <c r="G85" s="1"/>
      <c r="H85" s="1"/>
      <c r="I85" s="1"/>
      <c r="J85" s="1"/>
      <c r="K85" s="1"/>
      <c r="L85" s="1"/>
      <c r="M85" s="6">
        <f t="shared" ref="M85" si="686">+F85/D84</f>
        <v>1.4626019114987417E-3</v>
      </c>
      <c r="N85" s="6">
        <f t="shared" ref="N85" si="687">1-(+M85-1)^12</f>
        <v>1.7410721527821638E-2</v>
      </c>
      <c r="O85" s="6">
        <f t="shared" ref="O85" si="688">AVERAGE(N83:N85)</f>
        <v>2.1340580166596568E-2</v>
      </c>
      <c r="P85" s="6">
        <f t="shared" ref="P85" si="689">AVERAGE(N80:N85)</f>
        <v>1.7589231695404346E-2</v>
      </c>
      <c r="Q85" s="27">
        <f t="shared" ref="Q85" si="690">AVERAGE(N74:N85)</f>
        <v>1.3281158338174115E-2</v>
      </c>
      <c r="R85" s="2">
        <f>'[42]Parts 4 - 6 '!$C$58</f>
        <v>0</v>
      </c>
      <c r="S85" s="26">
        <f>'[42]Parts 7-10'!$C$4</f>
        <v>40205304.690000005</v>
      </c>
      <c r="T85" s="26">
        <f>'[42]Parts 7-10'!$E$4</f>
        <v>575969.24</v>
      </c>
      <c r="U85" s="26">
        <f>'[42]Parts 7-10'!$F$4</f>
        <v>381442.79</v>
      </c>
      <c r="V85" s="26">
        <f>'[42]Parts 7-10'!$G$4</f>
        <v>254306.62</v>
      </c>
      <c r="W85" s="26">
        <f>'[42]Parts 7-10'!$H$4</f>
        <v>85776.03</v>
      </c>
      <c r="X85" s="26">
        <f>'[42]Parts 7-10'!$J$4</f>
        <v>0</v>
      </c>
      <c r="Y85" s="38">
        <f>'[43]Parts 2 - 3'!$C$18</f>
        <v>0</v>
      </c>
      <c r="Z85" s="26">
        <f t="shared" ref="Z85" si="691">+Z84+Y85</f>
        <v>1299778.0899999996</v>
      </c>
      <c r="AA85" s="4">
        <f t="shared" ref="AA85" si="692">+Z85/$D$4</f>
        <v>1.7330345536199179E-2</v>
      </c>
      <c r="AB85" s="2">
        <f>'[42]Part 11'!$V$8</f>
        <v>32961479.819000021</v>
      </c>
      <c r="AC85" s="4">
        <f t="shared" ref="AC85" si="693">+AB85/AB$4</f>
        <v>0.48295208526007355</v>
      </c>
      <c r="AD85" s="25">
        <f t="shared" ref="AD85" si="694">+$AD$2*AB85</f>
        <v>27166054.795879137</v>
      </c>
      <c r="AE85" s="2">
        <f>'[42]Part 11'!$V$9</f>
        <v>6000000</v>
      </c>
      <c r="AF85" s="8">
        <f t="shared" ref="AF85" si="695">+AE85/$AE$4</f>
        <v>1</v>
      </c>
      <c r="AG85" s="2">
        <f>'[42]Part 11'!$V$10</f>
        <v>750000</v>
      </c>
      <c r="AH85" s="8">
        <f t="shared" ref="AH85" si="696">+AG85/$AG$4</f>
        <v>1</v>
      </c>
      <c r="AI85" s="8">
        <f t="shared" ref="AI85" si="697">+AB85/D85</f>
        <v>0.78517119335635233</v>
      </c>
      <c r="AJ85" s="2">
        <f t="shared" ref="AJ85" si="698">+AB85*0.01</f>
        <v>329614.79819000023</v>
      </c>
      <c r="AK85" s="4">
        <f t="shared" ref="AK85" si="699">((+D85+AJ85)-AB85)/D85</f>
        <v>0.22268051857721108</v>
      </c>
      <c r="AL85" s="4">
        <f t="shared" ref="AL85" si="700">+S85/$D85</f>
        <v>0.95772541876309369</v>
      </c>
      <c r="AM85" s="4">
        <f t="shared" ref="AM85" si="701">+T85/$D85</f>
        <v>1.3720089570938175E-2</v>
      </c>
      <c r="AN85" s="4">
        <f t="shared" ref="AN85" si="702">+U85/$D85</f>
        <v>9.0862998950925929E-3</v>
      </c>
      <c r="AO85" s="4">
        <f t="shared" ref="AO85" si="703">+V85/$D85</f>
        <v>6.0578054565596897E-3</v>
      </c>
      <c r="AP85" s="4">
        <f t="shared" ref="AP85" si="704">+W85/$D85</f>
        <v>2.0432598356111518E-3</v>
      </c>
      <c r="AQ85" s="4">
        <f t="shared" ref="AQ85" si="705">+X85/$D85</f>
        <v>0</v>
      </c>
      <c r="AR85" s="4">
        <f t="shared" ref="AR85" si="706">+Y85/$D85</f>
        <v>0</v>
      </c>
    </row>
    <row r="86" spans="1:44" x14ac:dyDescent="0.25">
      <c r="A86">
        <f t="shared" si="26"/>
        <v>82</v>
      </c>
      <c r="B86" s="3">
        <f t="shared" si="90"/>
        <v>44362</v>
      </c>
      <c r="C86" s="41">
        <f>'[44]Part 1'!$C$18</f>
        <v>1971</v>
      </c>
      <c r="D86" s="2">
        <f>'[44]Part 1'!$C$22</f>
        <v>41616418.329999998</v>
      </c>
      <c r="E86" s="8">
        <f t="shared" ref="E86" si="707">+D86/D$4</f>
        <v>0.5548846493003381</v>
      </c>
      <c r="F86" s="1">
        <f>'[44]Parts 2 - 3'!$C$49</f>
        <v>192527.69</v>
      </c>
      <c r="G86" s="1"/>
      <c r="H86" s="1"/>
      <c r="I86" s="1"/>
      <c r="J86" s="1"/>
      <c r="K86" s="1"/>
      <c r="L86" s="1"/>
      <c r="M86" s="6">
        <f t="shared" ref="M86" si="708">+F86/D85</f>
        <v>4.5861774696263607E-3</v>
      </c>
      <c r="N86" s="6">
        <f t="shared" ref="N86" si="709">1-(+M86-1)^12</f>
        <v>5.366695414159528E-2</v>
      </c>
      <c r="O86" s="6">
        <f t="shared" ref="O86" si="710">AVERAGE(N84:N86)</f>
        <v>3.6589315324670434E-2</v>
      </c>
      <c r="P86" s="6">
        <f t="shared" ref="P86" si="711">AVERAGE(N81:N86)</f>
        <v>2.2365605753563871E-2</v>
      </c>
      <c r="Q86" s="27">
        <f t="shared" ref="Q86" si="712">AVERAGE(N75:N86)</f>
        <v>1.7752729906230131E-2</v>
      </c>
      <c r="R86" s="2">
        <f>'[44]Parts 4 - 6 '!$C$58</f>
        <v>0</v>
      </c>
      <c r="S86" s="26">
        <f>'[44]Parts 7-10'!$C$4</f>
        <v>40047116.189999998</v>
      </c>
      <c r="T86" s="26">
        <f>'[44]Parts 7-10'!$E$4</f>
        <v>504177.13</v>
      </c>
      <c r="U86" s="26">
        <f>'[44]Parts 7-10'!$F$4</f>
        <v>401219.42</v>
      </c>
      <c r="V86" s="26">
        <f>'[44]Parts 7-10'!$G$4</f>
        <v>147970.65</v>
      </c>
      <c r="W86" s="26">
        <f>'[44]Parts 7-10'!$H$4</f>
        <v>62000.14</v>
      </c>
      <c r="X86" s="26">
        <f>'[44]Parts 7-10'!$J$4</f>
        <v>28255.11</v>
      </c>
      <c r="Y86" s="38">
        <f>'[45]Parts 2 - 3'!$C$18</f>
        <v>0</v>
      </c>
      <c r="Z86" s="26">
        <f t="shared" ref="Z86" si="713">+Z85+Y86</f>
        <v>1299778.0899999996</v>
      </c>
      <c r="AA86" s="4">
        <f t="shared" ref="AA86" si="714">+Z86/$D$4</f>
        <v>1.7330345536199179E-2</v>
      </c>
      <c r="AB86" s="2">
        <f>'[44]Part 11'!$V$8</f>
        <v>32690493.44900002</v>
      </c>
      <c r="AC86" s="4">
        <f t="shared" ref="AC86" si="715">+AB86/AB$4</f>
        <v>0.4789815889963373</v>
      </c>
      <c r="AD86" s="25">
        <f t="shared" ref="AD86" si="716">+$AD$2*AB86</f>
        <v>26942714.381043971</v>
      </c>
      <c r="AE86" s="2">
        <f>'[44]Part 11'!$V$9</f>
        <v>6000000</v>
      </c>
      <c r="AF86" s="8">
        <f t="shared" ref="AF86" si="717">+AE86/$AE$4</f>
        <v>1</v>
      </c>
      <c r="AG86" s="2">
        <f>'[44]Part 11'!$V$10</f>
        <v>750000</v>
      </c>
      <c r="AH86" s="8">
        <f t="shared" ref="AH86" si="718">+AG86/$AG$4</f>
        <v>1</v>
      </c>
      <c r="AI86" s="8">
        <f t="shared" ref="AI86" si="719">+AB86/D86</f>
        <v>0.7855191475099732</v>
      </c>
      <c r="AJ86" s="2">
        <f t="shared" ref="AJ86" si="720">+AB86*0.01</f>
        <v>326904.93449000019</v>
      </c>
      <c r="AK86" s="4">
        <f t="shared" ref="AK86" si="721">((+D86+AJ86)-AB86)/D86</f>
        <v>0.22233604396512663</v>
      </c>
      <c r="AL86" s="4">
        <f t="shared" ref="AL86" si="722">+S86/$D86</f>
        <v>0.96229127342107812</v>
      </c>
      <c r="AM86" s="4">
        <f t="shared" ref="AM86" si="723">+T86/$D86</f>
        <v>1.2114861158932415E-2</v>
      </c>
      <c r="AN86" s="4">
        <f t="shared" ref="AN86" si="724">+U86/$D86</f>
        <v>9.6408926116251861E-3</v>
      </c>
      <c r="AO86" s="4">
        <f t="shared" ref="AO86" si="725">+V86/$D86</f>
        <v>3.55558349175216E-3</v>
      </c>
      <c r="AP86" s="4">
        <f t="shared" ref="AP86" si="726">+W86/$D86</f>
        <v>1.4897999993263716E-3</v>
      </c>
      <c r="AQ86" s="4">
        <f t="shared" ref="AQ86" si="727">+X86/$D86</f>
        <v>6.7894141624464971E-4</v>
      </c>
      <c r="AR86" s="4">
        <f t="shared" ref="AR86" si="728">+Y86/$D86</f>
        <v>0</v>
      </c>
    </row>
    <row r="87" spans="1:44" x14ac:dyDescent="0.25">
      <c r="A87">
        <f t="shared" si="26"/>
        <v>83</v>
      </c>
      <c r="B87" s="3">
        <f t="shared" si="90"/>
        <v>44392</v>
      </c>
      <c r="C87" s="41">
        <f>'[46]Part 1'!$C$18</f>
        <v>1961</v>
      </c>
      <c r="D87" s="2">
        <f>'[46]Part 1'!$C$22</f>
        <v>41306926.079999998</v>
      </c>
      <c r="E87" s="8">
        <f t="shared" ref="E87" si="729">+D87/D$4</f>
        <v>0.55075809287155897</v>
      </c>
      <c r="F87" s="1">
        <f>'[46]Parts 2 - 3'!$C$49</f>
        <v>68179.070000000007</v>
      </c>
      <c r="G87" s="1"/>
      <c r="H87" s="1"/>
      <c r="I87" s="1"/>
      <c r="J87" s="1"/>
      <c r="K87" s="1"/>
      <c r="L87" s="1"/>
      <c r="M87" s="6">
        <f t="shared" ref="M87" si="730">+F87/D86</f>
        <v>1.6382733722871054E-3</v>
      </c>
      <c r="N87" s="6">
        <f t="shared" ref="N87" si="731">1-(+M87-1)^12</f>
        <v>1.9483104240537452E-2</v>
      </c>
      <c r="O87" s="6">
        <f t="shared" ref="O87" si="732">AVERAGE(N85:N87)</f>
        <v>3.0186926636651457E-2</v>
      </c>
      <c r="P87" s="6">
        <f t="shared" ref="P87" si="733">AVERAGE(N82:N87)</f>
        <v>2.3255386997007688E-2</v>
      </c>
      <c r="Q87" s="27">
        <f t="shared" ref="Q87" si="734">AVERAGE(N76:N87)</f>
        <v>1.7713937527663749E-2</v>
      </c>
      <c r="R87" s="2">
        <f>'[46]Parts 4 - 6 '!$C$58</f>
        <v>0</v>
      </c>
      <c r="S87" s="26">
        <f>'[46]Parts 7-10'!$C$4</f>
        <v>39715597.18</v>
      </c>
      <c r="T87" s="26">
        <f>'[46]Parts 7-10'!$E$4</f>
        <v>584846.66</v>
      </c>
      <c r="U87" s="26">
        <f>'[46]Parts 7-10'!$F$4</f>
        <v>339793.13</v>
      </c>
      <c r="V87" s="26">
        <f>'[46]Parts 7-10'!$G$4</f>
        <v>133285.57999999999</v>
      </c>
      <c r="W87" s="26">
        <f>'[46]Parts 7-10'!$H$4</f>
        <v>80202.13</v>
      </c>
      <c r="X87" s="26">
        <f>'[46]Parts 7-10'!$J$4</f>
        <v>12853.44</v>
      </c>
      <c r="Y87" s="38">
        <f>'[47]Parts 2 - 3'!$C$18</f>
        <v>15401.67</v>
      </c>
      <c r="Z87" s="26">
        <f t="shared" ref="Z87" si="735">+Z86+Y87</f>
        <v>1315179.7599999995</v>
      </c>
      <c r="AA87" s="4">
        <f t="shared" ref="AA87" si="736">+Z87/$D$4</f>
        <v>1.7535700792598762E-2</v>
      </c>
      <c r="AB87" s="2">
        <f>'[46]Part 11'!$V$8</f>
        <v>32064466.889000021</v>
      </c>
      <c r="AC87" s="4">
        <f t="shared" ref="AC87" si="737">+AB87/AB$4</f>
        <v>0.46980903866666696</v>
      </c>
      <c r="AD87" s="25">
        <f t="shared" ref="AD87" si="738">+$AD$2*AB87</f>
        <v>26426758.425000016</v>
      </c>
      <c r="AE87" s="2">
        <f>'[46]Part 11'!$V$9</f>
        <v>6000000</v>
      </c>
      <c r="AF87" s="8">
        <f t="shared" ref="AF87" si="739">+AE87/$AE$4</f>
        <v>1</v>
      </c>
      <c r="AG87" s="2">
        <f>'[46]Part 11'!$V$10</f>
        <v>750000</v>
      </c>
      <c r="AH87" s="8">
        <f t="shared" ref="AH87" si="740">+AG87/$AG$4</f>
        <v>1</v>
      </c>
      <c r="AI87" s="8">
        <f t="shared" ref="AI87" si="741">+AB87/D87</f>
        <v>0.77624916525863219</v>
      </c>
      <c r="AJ87" s="2">
        <f t="shared" ref="AJ87" si="742">+AB87*0.01</f>
        <v>320644.6688900002</v>
      </c>
      <c r="AK87" s="4">
        <f t="shared" ref="AK87" si="743">((+D87+AJ87)-AB87)/D87</f>
        <v>0.23151332639395414</v>
      </c>
      <c r="AL87" s="4">
        <f t="shared" ref="AL87" si="744">+S87/$D87</f>
        <v>0.96147549452316938</v>
      </c>
      <c r="AM87" s="4">
        <f t="shared" ref="AM87" si="745">+T87/$D87</f>
        <v>1.4158561662693445E-2</v>
      </c>
      <c r="AN87" s="4">
        <f t="shared" ref="AN87" si="746">+U87/$D87</f>
        <v>8.2260570380355939E-3</v>
      </c>
      <c r="AO87" s="4">
        <f t="shared" ref="AO87" si="747">+V87/$D87</f>
        <v>3.2267126278499392E-3</v>
      </c>
      <c r="AP87" s="4">
        <f t="shared" ref="AP87" si="748">+W87/$D87</f>
        <v>1.9416145816483861E-3</v>
      </c>
      <c r="AQ87" s="4">
        <f t="shared" ref="AQ87" si="749">+X87/$D87</f>
        <v>3.1116912391656719E-4</v>
      </c>
      <c r="AR87" s="4">
        <f t="shared" ref="AR87" si="750">+Y87/$D87</f>
        <v>3.7285926263724536E-4</v>
      </c>
    </row>
    <row r="88" spans="1:44" x14ac:dyDescent="0.25">
      <c r="A88">
        <f t="shared" si="26"/>
        <v>84</v>
      </c>
      <c r="B88" s="3">
        <f t="shared" si="90"/>
        <v>44423</v>
      </c>
      <c r="C88" s="41">
        <f>'[48]Part 1'!$C$18</f>
        <v>1955</v>
      </c>
      <c r="D88" s="2">
        <f>'[48]Part 1'!$C$22</f>
        <v>41112243.530000001</v>
      </c>
      <c r="E88" s="8">
        <f t="shared" ref="E88" si="751">+D88/D$4</f>
        <v>0.54816232988145641</v>
      </c>
      <c r="F88" s="1">
        <f>'[48]Parts 2 - 3'!$C$49</f>
        <v>56818.85</v>
      </c>
      <c r="G88" s="1"/>
      <c r="H88" s="1"/>
      <c r="I88" s="1"/>
      <c r="J88" s="1"/>
      <c r="K88" s="1"/>
      <c r="L88" s="1"/>
      <c r="M88" s="6">
        <f t="shared" ref="M88" si="752">+F88/D87</f>
        <v>1.3755284014588191E-3</v>
      </c>
      <c r="N88" s="6">
        <f t="shared" ref="N88" si="753">1-(+M88-1)^12</f>
        <v>1.6382034449688776E-2</v>
      </c>
      <c r="O88" s="6">
        <f t="shared" ref="O88" si="754">AVERAGE(N86:N88)</f>
        <v>2.9844030943940503E-2</v>
      </c>
      <c r="P88" s="6">
        <f t="shared" ref="P88" si="755">AVERAGE(N83:N88)</f>
        <v>2.5592305555268535E-2</v>
      </c>
      <c r="Q88" s="27">
        <f t="shared" ref="Q88" si="756">AVERAGE(N77:N88)</f>
        <v>1.7402282668682923E-2</v>
      </c>
      <c r="R88" s="2">
        <f>'[48]Parts 4 - 6 '!$C$58</f>
        <v>1042274.93</v>
      </c>
      <c r="S88" s="26">
        <f>'[48]Parts 7-10'!$C$4</f>
        <v>39127335.510000005</v>
      </c>
      <c r="T88" s="26">
        <f>'[48]Parts 7-10'!$E$4</f>
        <v>929504.19</v>
      </c>
      <c r="U88" s="26">
        <f>'[48]Parts 7-10'!$F$4</f>
        <v>365616.8</v>
      </c>
      <c r="V88" s="26">
        <f>'[48]Parts 7-10'!$G$4</f>
        <v>151978.29999999999</v>
      </c>
      <c r="W88" s="26">
        <f>'[48]Parts 7-10'!$H$4</f>
        <v>35750.160000000003</v>
      </c>
      <c r="X88" s="26">
        <f>'[48]Parts 7-10'!$J$4</f>
        <v>68570.52</v>
      </c>
      <c r="Y88" s="38">
        <f>'[49]Parts 2 - 3'!$C$18</f>
        <v>31685.29</v>
      </c>
      <c r="Z88" s="26">
        <f t="shared" ref="Z88" si="757">+Z87+Y88</f>
        <v>1346865.0499999996</v>
      </c>
      <c r="AA88" s="4">
        <f t="shared" ref="AA88" si="758">+Z88/$D$4</f>
        <v>1.7958170619055584E-2</v>
      </c>
      <c r="AB88" s="2">
        <f>'[48]Part 11'!$V$8</f>
        <v>32064466.889000021</v>
      </c>
      <c r="AC88" s="4">
        <f t="shared" ref="AC88" si="759">+AB88/AB$4</f>
        <v>0.46980903866666696</v>
      </c>
      <c r="AD88" s="25">
        <f t="shared" ref="AD88" si="760">+$AD$2*AB88</f>
        <v>26426758.425000016</v>
      </c>
      <c r="AE88" s="2">
        <f>'[48]Part 11'!$V$9</f>
        <v>6000000</v>
      </c>
      <c r="AF88" s="8">
        <f t="shared" ref="AF88" si="761">+AE88/$AE$4</f>
        <v>1</v>
      </c>
      <c r="AG88" s="2">
        <f>'[48]Part 11'!$V$10</f>
        <v>750000</v>
      </c>
      <c r="AH88" s="8">
        <f t="shared" ref="AH88" si="762">+AG88/$AG$4</f>
        <v>1</v>
      </c>
      <c r="AI88" s="8">
        <f t="shared" ref="AI88" si="763">+AB88/D88</f>
        <v>0.77992500860728431</v>
      </c>
      <c r="AJ88" s="2">
        <f t="shared" ref="AJ88" si="764">+AB88*0.01</f>
        <v>320644.6688900002</v>
      </c>
      <c r="AK88" s="4">
        <f t="shared" ref="AK88" si="765">((+D88+AJ88)-AB88)/D88</f>
        <v>0.22787424147878849</v>
      </c>
      <c r="AL88" s="4">
        <f t="shared" ref="AL88" si="766">+S88/$D88</f>
        <v>0.95171978346179065</v>
      </c>
      <c r="AM88" s="4">
        <f t="shared" ref="AM88" si="767">+T88/$D88</f>
        <v>2.2608938607831794E-2</v>
      </c>
      <c r="AN88" s="4">
        <f t="shared" ref="AN88" si="768">+U88/$D88</f>
        <v>8.8931366572881348E-3</v>
      </c>
      <c r="AO88" s="4">
        <f t="shared" ref="AO88" si="769">+V88/$D88</f>
        <v>3.6966676335505738E-3</v>
      </c>
      <c r="AP88" s="4">
        <f t="shared" ref="AP88" si="770">+W88/$D88</f>
        <v>8.6957453377392959E-4</v>
      </c>
      <c r="AQ88" s="4">
        <f t="shared" ref="AQ88" si="771">+X88/$D88</f>
        <v>1.6678856251170879E-3</v>
      </c>
      <c r="AR88" s="4">
        <f t="shared" ref="AR88" si="772">+Y88/$D88</f>
        <v>7.7070204103259264E-4</v>
      </c>
    </row>
    <row r="89" spans="1:44" x14ac:dyDescent="0.25">
      <c r="A89">
        <f t="shared" si="26"/>
        <v>85</v>
      </c>
      <c r="B89" s="3">
        <f t="shared" si="90"/>
        <v>44454</v>
      </c>
      <c r="C89" s="41">
        <f>'[50]Part 1'!$C$18</f>
        <v>1942</v>
      </c>
      <c r="D89" s="2">
        <f>'[50]Part 1'!$C$22</f>
        <v>40645305.950000003</v>
      </c>
      <c r="E89" s="8">
        <f t="shared" ref="E89" si="773">+D89/D$4</f>
        <v>0.54193650589850506</v>
      </c>
      <c r="F89" s="1">
        <f>'[50]Parts 2 - 3'!$C$49</f>
        <v>52032.66</v>
      </c>
      <c r="G89" s="1"/>
      <c r="H89" s="1"/>
      <c r="I89" s="1"/>
      <c r="J89" s="1"/>
      <c r="K89" s="1"/>
      <c r="L89" s="1"/>
      <c r="M89" s="6">
        <f t="shared" ref="M89" si="774">+F89/D88</f>
        <v>1.2656244352617554E-3</v>
      </c>
      <c r="N89" s="6">
        <f t="shared" ref="N89" si="775">1-(+M89-1)^12</f>
        <v>1.5082218814153392E-2</v>
      </c>
      <c r="O89" s="6">
        <f t="shared" ref="O89" si="776">AVERAGE(N87:N89)</f>
        <v>1.6982452501459872E-2</v>
      </c>
      <c r="P89" s="6">
        <f t="shared" ref="P89" si="777">AVERAGE(N84:N89)</f>
        <v>2.6785883913065151E-2</v>
      </c>
      <c r="Q89" s="27">
        <f t="shared" ref="Q89" si="778">AVERAGE(N78:N89)</f>
        <v>1.8655843113004722E-2</v>
      </c>
      <c r="R89" s="2">
        <f>'[50]Parts 4 - 6 '!$C$58</f>
        <v>0</v>
      </c>
      <c r="S89" s="26">
        <f>'[50]Parts 7-10'!$C$4</f>
        <v>38039976.829999998</v>
      </c>
      <c r="T89" s="26">
        <f>'[50]Parts 7-10'!$E$4</f>
        <v>1187329.1000000001</v>
      </c>
      <c r="U89" s="26">
        <f>'[50]Parts 7-10'!$F$4</f>
        <v>754900.03</v>
      </c>
      <c r="V89" s="26">
        <f>'[50]Parts 7-10'!$G$4</f>
        <v>191612</v>
      </c>
      <c r="W89" s="26">
        <f>'[50]Parts 7-10'!$H$4</f>
        <v>81958.880000000005</v>
      </c>
      <c r="X89" s="26">
        <f>'[50]Parts 7-10'!$J$4</f>
        <v>50689.98</v>
      </c>
      <c r="Y89" s="38">
        <f>'[51]Parts 7-10'!$P$15</f>
        <v>8509.1500000000015</v>
      </c>
      <c r="Z89" s="26">
        <f t="shared" ref="Z89" si="779">+Z88+Y89</f>
        <v>1355374.1999999995</v>
      </c>
      <c r="AA89" s="4">
        <f t="shared" ref="AA89" si="780">+Z89/$D$4</f>
        <v>1.8071625762555769E-2</v>
      </c>
      <c r="AB89" s="2">
        <f>'[50]Part 11'!$V$8</f>
        <v>31725668.779000022</v>
      </c>
      <c r="AC89" s="4">
        <f t="shared" ref="AC89" si="781">+AB89/AB$4</f>
        <v>0.46484496379487211</v>
      </c>
      <c r="AD89" s="25">
        <f t="shared" ref="AD89" si="782">+$AD$2*AB89</f>
        <v>26147529.213461556</v>
      </c>
      <c r="AE89" s="2">
        <f>'[50]Part 11'!$V$9</f>
        <v>6000000</v>
      </c>
      <c r="AF89" s="8">
        <f t="shared" ref="AF89" si="783">+AE89/$AE$4</f>
        <v>1</v>
      </c>
      <c r="AG89" s="2">
        <f>'[50]Part 11'!$V$10</f>
        <v>750000</v>
      </c>
      <c r="AH89" s="8">
        <f t="shared" ref="AH89" si="784">+AG89/$AG$4</f>
        <v>1</v>
      </c>
      <c r="AI89" s="8">
        <f t="shared" ref="AI89" si="785">+AB89/D89</f>
        <v>0.78054939032879933</v>
      </c>
      <c r="AJ89" s="2">
        <f t="shared" ref="AJ89" si="786">+AB89*0.01</f>
        <v>317256.68779000023</v>
      </c>
      <c r="AK89" s="4">
        <f t="shared" ref="AK89" si="787">((+D89+AJ89)-AB89)/D89</f>
        <v>0.22725610357448864</v>
      </c>
      <c r="AL89" s="4">
        <f t="shared" ref="AL89" si="788">+S89/$D89</f>
        <v>0.93590086089633673</v>
      </c>
      <c r="AM89" s="4">
        <f t="shared" ref="AM89" si="789">+T89/$D89</f>
        <v>2.9211961190810029E-2</v>
      </c>
      <c r="AN89" s="4">
        <f t="shared" ref="AN89" si="790">+U89/$D89</f>
        <v>1.8572871143561903E-2</v>
      </c>
      <c r="AO89" s="4">
        <f t="shared" ref="AO89" si="791">+V89/$D89</f>
        <v>4.714246713647877E-3</v>
      </c>
      <c r="AP89" s="4">
        <f t="shared" ref="AP89" si="792">+W89/$D89</f>
        <v>2.0164414582294465E-3</v>
      </c>
      <c r="AQ89" s="4">
        <f t="shared" ref="AQ89" si="793">+X89/$D89</f>
        <v>1.247129989926918E-3</v>
      </c>
      <c r="AR89" s="4">
        <f t="shared" ref="AR89" si="794">+Y89/$D89</f>
        <v>2.0935135807484311E-4</v>
      </c>
    </row>
    <row r="90" spans="1:44" x14ac:dyDescent="0.25">
      <c r="A90">
        <f t="shared" si="26"/>
        <v>86</v>
      </c>
      <c r="B90" s="3">
        <f t="shared" si="90"/>
        <v>44484</v>
      </c>
      <c r="C90" s="41">
        <f>'[52]Part 1'!$C$18</f>
        <v>1938</v>
      </c>
      <c r="D90" s="2">
        <f>'[52]Part 1'!$C$22</f>
        <v>40459063.229999997</v>
      </c>
      <c r="E90" s="8">
        <f t="shared" ref="E90" si="795">+D90/D$4</f>
        <v>0.53945327378678232</v>
      </c>
      <c r="F90" s="1">
        <f>'[52]Parts 2 - 3'!$C$49</f>
        <v>47357.77</v>
      </c>
      <c r="G90" s="1"/>
      <c r="H90" s="1"/>
      <c r="I90" s="1"/>
      <c r="J90" s="1"/>
      <c r="K90" s="1"/>
      <c r="L90" s="1"/>
      <c r="M90" s="6">
        <f t="shared" ref="M90" si="796">+F90/D89</f>
        <v>1.1651473372658915E-3</v>
      </c>
      <c r="N90" s="6">
        <f t="shared" ref="N90" si="797">1-(+M90-1)^12</f>
        <v>1.3892515616415246E-2</v>
      </c>
      <c r="O90" s="6">
        <f t="shared" ref="O90" si="798">AVERAGE(N88:N90)</f>
        <v>1.5118922960085804E-2</v>
      </c>
      <c r="P90" s="6">
        <f t="shared" ref="P90" si="799">AVERAGE(N85:N90)</f>
        <v>2.265292479836863E-2</v>
      </c>
      <c r="Q90" s="27">
        <f t="shared" ref="Q90" si="800">AVERAGE(N79:N90)</f>
        <v>1.9243005443784027E-2</v>
      </c>
      <c r="R90" s="2">
        <f>'[52]Parts 4 - 6 '!$C$58</f>
        <v>0</v>
      </c>
      <c r="S90" s="26">
        <f>'[52]Parts 7-10'!$C$4</f>
        <v>37924414.671999998</v>
      </c>
      <c r="T90" s="26">
        <f>'[52]Parts 7-10'!$E$4</f>
        <v>1009759.11</v>
      </c>
      <c r="U90" s="26">
        <f>'[52]Parts 7-10'!$F$4</f>
        <v>610192.18000000005</v>
      </c>
      <c r="V90" s="26">
        <f>'[52]Parts 7-10'!$G$4</f>
        <v>424033.61</v>
      </c>
      <c r="W90" s="26">
        <f>'[52]Parts 7-10'!$H$4</f>
        <v>99798.71</v>
      </c>
      <c r="X90" s="26">
        <f>'[52]Parts 7-10'!$J$4</f>
        <v>33823.17</v>
      </c>
      <c r="Y90" s="38">
        <f>'[53]Parts 7-10'!$P$15</f>
        <v>0</v>
      </c>
      <c r="Z90" s="26">
        <f t="shared" ref="Z90" si="801">+Z89+Y90</f>
        <v>1355374.1999999995</v>
      </c>
      <c r="AA90" s="4">
        <f t="shared" ref="AA90" si="802">+Z90/$D$4</f>
        <v>1.8071625762555769E-2</v>
      </c>
      <c r="AB90" s="2">
        <f>'[52]Part 11'!$V$8</f>
        <v>31583550.329000022</v>
      </c>
      <c r="AC90" s="4">
        <f t="shared" ref="AC90" si="803">+AB90/AB$4</f>
        <v>0.4627626421831505</v>
      </c>
      <c r="AD90" s="25">
        <f t="shared" ref="AD90" si="804">+$AD$2*AB90</f>
        <v>26030398.622802217</v>
      </c>
      <c r="AE90" s="2">
        <f>'[52]Part 11'!$V$9</f>
        <v>6000000</v>
      </c>
      <c r="AF90" s="8">
        <f t="shared" ref="AF90" si="805">+AE90/$AE$4</f>
        <v>1</v>
      </c>
      <c r="AG90" s="2">
        <f>'[52]Part 11'!$V$10</f>
        <v>750000</v>
      </c>
      <c r="AH90" s="8">
        <f t="shared" ref="AH90" si="806">+AG90/$AG$4</f>
        <v>1</v>
      </c>
      <c r="AI90" s="8">
        <f t="shared" ref="AI90" si="807">+AB90/D90</f>
        <v>0.78062979732019921</v>
      </c>
      <c r="AJ90" s="2">
        <f t="shared" ref="AJ90" si="808">+AB90*0.01</f>
        <v>315835.50329000026</v>
      </c>
      <c r="AK90" s="4">
        <f t="shared" ref="AK90" si="809">((+D90+AJ90)-AB90)/D90</f>
        <v>0.22717650065300271</v>
      </c>
      <c r="AL90" s="4">
        <f t="shared" ref="AL90" si="810">+S90/$D90</f>
        <v>0.9373527621341321</v>
      </c>
      <c r="AM90" s="4">
        <f t="shared" ref="AM90" si="811">+T90/$D90</f>
        <v>2.4957550407426969E-2</v>
      </c>
      <c r="AN90" s="4">
        <f t="shared" ref="AN90" si="812">+U90/$D90</f>
        <v>1.5081717946142376E-2</v>
      </c>
      <c r="AO90" s="4">
        <f t="shared" ref="AO90" si="813">+V90/$D90</f>
        <v>1.0480559265286776E-2</v>
      </c>
      <c r="AP90" s="4">
        <f t="shared" ref="AP90" si="814">+W90/$D90</f>
        <v>2.4666589394981408E-3</v>
      </c>
      <c r="AQ90" s="4">
        <f t="shared" ref="AQ90" si="815">+X90/$D90</f>
        <v>8.3598500063443014E-4</v>
      </c>
      <c r="AR90" s="4">
        <f t="shared" ref="AR90" si="816">+Y90/$D90</f>
        <v>0</v>
      </c>
    </row>
    <row r="91" spans="1:44" x14ac:dyDescent="0.25">
      <c r="A91">
        <f t="shared" si="26"/>
        <v>87</v>
      </c>
      <c r="B91" s="3">
        <f t="shared" si="90"/>
        <v>44515</v>
      </c>
      <c r="C91" s="41">
        <f>'[54]Part 1'!$C$18</f>
        <v>1936</v>
      </c>
      <c r="D91" s="2">
        <f>'[54]Part 1'!$C$22</f>
        <v>40275411.93</v>
      </c>
      <c r="E91" s="8">
        <f t="shared" ref="E91:E97" si="817">+D91/D$4</f>
        <v>0.53700459388391353</v>
      </c>
      <c r="F91" s="1">
        <f>'[54]Parts 2 - 3'!$C$49</f>
        <v>31555.31</v>
      </c>
      <c r="G91" s="1"/>
      <c r="H91" s="1"/>
      <c r="I91" s="1"/>
      <c r="J91" s="1"/>
      <c r="K91" s="1"/>
      <c r="L91" s="1"/>
      <c r="M91" s="6">
        <f t="shared" ref="M91" si="818">+F91/D90</f>
        <v>7.7993179972100913E-4</v>
      </c>
      <c r="N91" s="6">
        <f t="shared" ref="N91" si="819">1-(+M91-1)^12</f>
        <v>9.3191384093705976E-3</v>
      </c>
      <c r="O91" s="6">
        <f t="shared" ref="O91" si="820">AVERAGE(N89:N91)</f>
        <v>1.2764624279979745E-2</v>
      </c>
      <c r="P91" s="6">
        <f t="shared" ref="P91" si="821">AVERAGE(N86:N91)</f>
        <v>2.1304327611960123E-2</v>
      </c>
      <c r="Q91" s="27">
        <f t="shared" ref="Q91" si="822">AVERAGE(N80:N91)</f>
        <v>1.9446779653682234E-2</v>
      </c>
      <c r="R91" s="2">
        <f>'[54]Parts 4 - 6 '!$C$58</f>
        <v>0</v>
      </c>
      <c r="S91" s="26">
        <f>'[54]Parts 7-10'!$C$4</f>
        <v>37397245.629999995</v>
      </c>
      <c r="T91" s="26">
        <f>'[54]Parts 7-10'!$E$4</f>
        <v>1073225.75</v>
      </c>
      <c r="U91" s="26">
        <f>'[54]Parts 7-10'!$F$4</f>
        <v>761285.89</v>
      </c>
      <c r="V91" s="26">
        <f>'[54]Parts 7-10'!$G$4</f>
        <v>399463.28</v>
      </c>
      <c r="W91" s="26">
        <f>'[54]Parts 7-10'!$H$4</f>
        <v>170788.86</v>
      </c>
      <c r="X91" s="26">
        <f>'[54]Parts 7-10'!$J$4</f>
        <v>82589.490000000005</v>
      </c>
      <c r="Y91" s="38">
        <f>'[55]Parts 7-10'!$P$15</f>
        <v>32141.31</v>
      </c>
      <c r="Z91" s="26">
        <f t="shared" ref="Z91" si="823">+Z90+Y91</f>
        <v>1387515.5099999995</v>
      </c>
      <c r="AA91" s="4">
        <f t="shared" ref="AA91" si="824">+Z91/$D$4</f>
        <v>1.850017584550577E-2</v>
      </c>
      <c r="AB91" s="2">
        <f>'[54]Part 11'!$V$8</f>
        <v>31432027.809000023</v>
      </c>
      <c r="AC91" s="4">
        <f t="shared" ref="AC91" si="825">+AB91/AB$4</f>
        <v>0.46054253200000034</v>
      </c>
      <c r="AD91" s="25">
        <f t="shared" ref="AD91" si="826">+$AD$2*AB91</f>
        <v>25905517.425000016</v>
      </c>
      <c r="AE91" s="2">
        <f>'[54]Part 11'!$V$9</f>
        <v>6000000</v>
      </c>
      <c r="AF91" s="8">
        <f t="shared" ref="AF91" si="827">+AE91/$AE$4</f>
        <v>1</v>
      </c>
      <c r="AG91" s="2">
        <f>'[54]Part 11'!$V$10</f>
        <v>750000</v>
      </c>
      <c r="AH91" s="8">
        <f t="shared" ref="AH91" si="828">+AG91/$AG$4</f>
        <v>1</v>
      </c>
      <c r="AI91" s="8">
        <f t="shared" ref="AI91" si="829">+AB91/D91</f>
        <v>0.78042722104568241</v>
      </c>
      <c r="AJ91" s="2">
        <f t="shared" ref="AJ91" si="830">+AB91*0.01</f>
        <v>314320.27809000021</v>
      </c>
      <c r="AK91" s="4">
        <f t="shared" ref="AK91" si="831">((+D91+AJ91)-AB91)/D91</f>
        <v>0.22737705116477444</v>
      </c>
      <c r="AL91" s="4">
        <f t="shared" ref="AL91" si="832">+S91/$D91</f>
        <v>0.92853788050629116</v>
      </c>
      <c r="AM91" s="4">
        <f t="shared" ref="AM91" si="833">+T91/$D91</f>
        <v>2.6647170036778318E-2</v>
      </c>
      <c r="AN91" s="4">
        <f t="shared" ref="AN91" si="834">+U91/$D91</f>
        <v>1.8902001333298345E-2</v>
      </c>
      <c r="AO91" s="4">
        <f t="shared" ref="AO91" si="835">+V91/$D91</f>
        <v>9.9182916041747858E-3</v>
      </c>
      <c r="AP91" s="4">
        <f t="shared" ref="AP91" si="836">+W91/$D91</f>
        <v>4.2405242259678606E-3</v>
      </c>
      <c r="AQ91" s="4">
        <f t="shared" ref="AQ91" si="837">+X91/$D91</f>
        <v>2.0506181325604632E-3</v>
      </c>
      <c r="AR91" s="4">
        <f t="shared" ref="AR91" si="838">+Y91/$D91</f>
        <v>7.9803802021597358E-4</v>
      </c>
    </row>
    <row r="92" spans="1:44" x14ac:dyDescent="0.25">
      <c r="A92">
        <f t="shared" si="26"/>
        <v>88</v>
      </c>
      <c r="B92" s="3">
        <f t="shared" si="90"/>
        <v>44545</v>
      </c>
      <c r="C92" s="41">
        <f>'[56]Part 1'!$C$18</f>
        <v>1927</v>
      </c>
      <c r="D92" s="2">
        <f>'[56]Part 1'!$C$22</f>
        <v>39957332.490000002</v>
      </c>
      <c r="E92" s="8">
        <f t="shared" si="817"/>
        <v>0.53276354178004193</v>
      </c>
      <c r="F92" s="1">
        <f>'[56]Parts 2 - 3'!$C$49</f>
        <v>169681.4</v>
      </c>
      <c r="G92" s="1"/>
      <c r="H92" s="1"/>
      <c r="I92" s="1"/>
      <c r="J92" s="1"/>
      <c r="K92" s="1"/>
      <c r="L92" s="1"/>
      <c r="M92" s="6">
        <f t="shared" ref="M92" si="839">+F92/D91</f>
        <v>4.2130270522102138E-3</v>
      </c>
      <c r="N92" s="6">
        <f t="shared" ref="N92" si="840">1-(+M92-1)^12</f>
        <v>4.9401147822589087E-2</v>
      </c>
      <c r="O92" s="6">
        <f t="shared" ref="O92" si="841">AVERAGE(N90:N92)</f>
        <v>2.4204267282791642E-2</v>
      </c>
      <c r="P92" s="6">
        <f t="shared" ref="P92" si="842">AVERAGE(N87:N92)</f>
        <v>2.0593359892125757E-2</v>
      </c>
      <c r="Q92" s="27">
        <f t="shared" ref="Q92" si="843">AVERAGE(N81:N92)</f>
        <v>2.1479482822844814E-2</v>
      </c>
      <c r="R92" s="2">
        <f>'[56]Parts 4 - 6 '!$C$58</f>
        <v>0</v>
      </c>
      <c r="S92" s="26">
        <f>'[56]Parts 7-10'!$C$4</f>
        <v>36727678.700000003</v>
      </c>
      <c r="T92" s="26">
        <f>'[56]Parts 7-10'!$E$4</f>
        <v>1250333.45</v>
      </c>
      <c r="U92" s="26">
        <f>'[56]Parts 7-10'!$F$4</f>
        <v>952491.71</v>
      </c>
      <c r="V92" s="26">
        <f>'[56]Parts 7-10'!$G$4</f>
        <v>324384.02</v>
      </c>
      <c r="W92" s="26">
        <f>'[56]Parts 7-10'!$H$4</f>
        <v>178143.5</v>
      </c>
      <c r="X92" s="26">
        <f>'[56]Parts 7-10'!$J$4</f>
        <v>115681.1</v>
      </c>
      <c r="Y92" s="38">
        <f>'[57]Parts 7-10'!$P$15</f>
        <v>20368.68</v>
      </c>
      <c r="Z92" s="26">
        <f t="shared" ref="Z92" si="844">+Z91+Y92</f>
        <v>1407884.1899999995</v>
      </c>
      <c r="AA92" s="4">
        <f t="shared" ref="AA92" si="845">+Z92/$D$4</f>
        <v>1.877175779109486E-2</v>
      </c>
      <c r="AB92" s="2">
        <f>'[56]Part 11'!$V$8</f>
        <v>31149066.589000024</v>
      </c>
      <c r="AC92" s="4">
        <f t="shared" ref="AC92" si="846">+AB92/AB$4</f>
        <v>0.45639658005860839</v>
      </c>
      <c r="AD92" s="25">
        <f t="shared" ref="AD92" si="847">+$AD$2*AB92</f>
        <v>25672307.628296722</v>
      </c>
      <c r="AE92" s="2">
        <f>'[56]Part 11'!$V$9</f>
        <v>6000000</v>
      </c>
      <c r="AF92" s="8">
        <f t="shared" ref="AF92" si="848">+AE92/$AE$4</f>
        <v>1</v>
      </c>
      <c r="AG92" s="2">
        <f>'[56]Part 11'!$V$10</f>
        <v>750000</v>
      </c>
      <c r="AH92" s="8">
        <f t="shared" ref="AH92" si="849">+AG92/$AG$4</f>
        <v>1</v>
      </c>
      <c r="AI92" s="8">
        <f t="shared" ref="AI92" si="850">+AB92/D92</f>
        <v>0.7795582099179319</v>
      </c>
      <c r="AJ92" s="2">
        <f t="shared" ref="AJ92" si="851">+AB92*0.01</f>
        <v>311490.66589000024</v>
      </c>
      <c r="AK92" s="4">
        <f t="shared" ref="AK92" si="852">((+D92+AJ92)-AB92)/D92</f>
        <v>0.2282373721812474</v>
      </c>
      <c r="AL92" s="4">
        <f t="shared" ref="AL92" si="853">+S92/$D92</f>
        <v>0.91917243747919675</v>
      </c>
      <c r="AM92" s="4">
        <f t="shared" ref="AM92" si="854">+T92/$D92</f>
        <v>3.1291714738788355E-2</v>
      </c>
      <c r="AN92" s="4">
        <f t="shared" ref="AN92" si="855">+U92/$D92</f>
        <v>2.3837720154076279E-2</v>
      </c>
      <c r="AO92" s="4">
        <f t="shared" ref="AO92" si="856">+V92/$D92</f>
        <v>8.1182601486518794E-3</v>
      </c>
      <c r="AP92" s="4">
        <f t="shared" ref="AP92" si="857">+W92/$D92</f>
        <v>4.4583431600341041E-3</v>
      </c>
      <c r="AQ92" s="4">
        <f t="shared" ref="AQ92" si="858">+X92/$D92</f>
        <v>2.89511568443542E-3</v>
      </c>
      <c r="AR92" s="4">
        <f t="shared" ref="AR92" si="859">+Y92/$D92</f>
        <v>5.0976075555337946E-4</v>
      </c>
    </row>
    <row r="93" spans="1:44" x14ac:dyDescent="0.25">
      <c r="A93">
        <f t="shared" si="26"/>
        <v>89</v>
      </c>
      <c r="B93" s="3">
        <f t="shared" si="90"/>
        <v>44576</v>
      </c>
      <c r="C93" s="41">
        <f>'[58]Part 1'!$C$18</f>
        <v>1927</v>
      </c>
      <c r="D93" s="2">
        <f>'[58]Part 1'!$C$22</f>
        <v>39957332.490000002</v>
      </c>
      <c r="E93" s="8">
        <f t="shared" si="817"/>
        <v>0.53276354178004193</v>
      </c>
      <c r="F93" s="1">
        <f>'[58]Parts 2 - 3'!$C$49</f>
        <v>169681.4</v>
      </c>
      <c r="G93" s="1"/>
      <c r="H93" s="1"/>
      <c r="I93" s="1"/>
      <c r="J93" s="1"/>
      <c r="K93" s="1"/>
      <c r="L93" s="1"/>
      <c r="M93" s="6">
        <f t="shared" ref="M93" si="860">+F93/D92</f>
        <v>4.2465647586075878E-3</v>
      </c>
      <c r="N93" s="6">
        <f t="shared" ref="N93" si="861">1-(+M93-1)^12</f>
        <v>4.9785266127242433E-2</v>
      </c>
      <c r="O93" s="6">
        <f t="shared" ref="O93" si="862">AVERAGE(N91:N93)</f>
        <v>3.6168517453067373E-2</v>
      </c>
      <c r="P93" s="6">
        <f t="shared" ref="P93" si="863">AVERAGE(N88:N93)</f>
        <v>2.5643720206576587E-2</v>
      </c>
      <c r="Q93" s="27">
        <f t="shared" ref="Q93" si="864">AVERAGE(N82:N93)</f>
        <v>2.4449553601792139E-2</v>
      </c>
      <c r="R93" s="2">
        <f>'[58]Parts 4 - 6 '!$C$58</f>
        <v>0</v>
      </c>
      <c r="S93" s="26">
        <f>'[58]Parts 7-10'!$C$4</f>
        <v>36727678.700000003</v>
      </c>
      <c r="T93" s="26">
        <f>'[58]Parts 7-10'!$E$4</f>
        <v>1250333.45</v>
      </c>
      <c r="U93" s="26">
        <f>'[58]Parts 7-10'!$F$4</f>
        <v>952491.71</v>
      </c>
      <c r="V93" s="26">
        <f>'[58]Parts 7-10'!$G$4</f>
        <v>324384.02</v>
      </c>
      <c r="W93" s="26">
        <f>'[58]Parts 7-10'!$H$4</f>
        <v>178143.5</v>
      </c>
      <c r="X93" s="26">
        <f>'[58]Parts 7-10'!$J$4</f>
        <v>115681.1</v>
      </c>
      <c r="Y93" s="38">
        <f>'[58]Parts 7-10'!$P$15</f>
        <v>49868.229999999996</v>
      </c>
      <c r="Z93" s="26">
        <f t="shared" ref="Z93" si="865">+Z92+Y93</f>
        <v>1457752.4199999995</v>
      </c>
      <c r="AA93" s="4">
        <f t="shared" ref="AA93" si="866">+Z93/$D$4</f>
        <v>1.9436666411903086E-2</v>
      </c>
      <c r="AB93" s="2">
        <f>'[58]Part 11'!$V$8</f>
        <v>31149066.589000024</v>
      </c>
      <c r="AC93" s="4">
        <f t="shared" ref="AC93" si="867">+AB93/AB$4</f>
        <v>0.45639658005860839</v>
      </c>
      <c r="AD93" s="25">
        <f t="shared" ref="AD93" si="868">+$AD$2*AB93</f>
        <v>25672307.628296722</v>
      </c>
      <c r="AE93" s="2">
        <f>'[58]Part 11'!$V$9</f>
        <v>6000000</v>
      </c>
      <c r="AF93" s="8">
        <f t="shared" ref="AF93" si="869">+AE93/$AE$4</f>
        <v>1</v>
      </c>
      <c r="AG93" s="2">
        <f>'[58]Part 11'!$V$10</f>
        <v>750000</v>
      </c>
      <c r="AH93" s="8">
        <f t="shared" ref="AH93" si="870">+AG93/$AG$4</f>
        <v>1</v>
      </c>
      <c r="AI93" s="8">
        <f t="shared" ref="AI93" si="871">+AB93/D93</f>
        <v>0.7795582099179319</v>
      </c>
      <c r="AJ93" s="2">
        <f t="shared" ref="AJ93" si="872">+AB93*0.01</f>
        <v>311490.66589000024</v>
      </c>
      <c r="AK93" s="4">
        <f t="shared" ref="AK93" si="873">((+D93+AJ93)-AB93)/D93</f>
        <v>0.2282373721812474</v>
      </c>
      <c r="AL93" s="4">
        <f t="shared" ref="AL93" si="874">+S93/$D93</f>
        <v>0.91917243747919675</v>
      </c>
      <c r="AM93" s="4">
        <f t="shared" ref="AM93" si="875">+T93/$D93</f>
        <v>3.1291714738788355E-2</v>
      </c>
      <c r="AN93" s="4">
        <f t="shared" ref="AN93" si="876">+U93/$D93</f>
        <v>2.3837720154076279E-2</v>
      </c>
      <c r="AO93" s="4">
        <f t="shared" ref="AO93" si="877">+V93/$D93</f>
        <v>8.1182601486518794E-3</v>
      </c>
      <c r="AP93" s="4">
        <f t="shared" ref="AP93" si="878">+W93/$D93</f>
        <v>4.4583431600341041E-3</v>
      </c>
      <c r="AQ93" s="4">
        <f t="shared" ref="AQ93" si="879">+X93/$D93</f>
        <v>2.89511568443542E-3</v>
      </c>
      <c r="AR93" s="4">
        <f t="shared" ref="AR93" si="880">+Y93/$D93</f>
        <v>1.2480370157962964E-3</v>
      </c>
    </row>
    <row r="94" spans="1:44" x14ac:dyDescent="0.25">
      <c r="A94">
        <f t="shared" si="26"/>
        <v>90</v>
      </c>
      <c r="B94" s="3">
        <f t="shared" si="90"/>
        <v>44607</v>
      </c>
      <c r="C94" s="41">
        <f>'[59]Part 1'!$C$18</f>
        <v>1923</v>
      </c>
      <c r="D94" s="2">
        <f>'[59]Part 1'!$C$22</f>
        <v>39786294.659999996</v>
      </c>
      <c r="E94" s="8">
        <f t="shared" si="817"/>
        <v>0.5304830411957755</v>
      </c>
      <c r="F94" s="1">
        <f>'[59]Parts 2 - 3'!$C$49</f>
        <v>48817.16</v>
      </c>
      <c r="G94" s="1"/>
      <c r="H94" s="1"/>
      <c r="I94" s="1"/>
      <c r="J94" s="1"/>
      <c r="K94" s="1"/>
      <c r="L94" s="1"/>
      <c r="M94" s="6">
        <f t="shared" ref="M94" si="881">+F94/D93</f>
        <v>1.2217322067787514E-3</v>
      </c>
      <c r="N94" s="6">
        <f t="shared" ref="N94" si="882">1-(+M94-1)^12</f>
        <v>1.456267301865144E-2</v>
      </c>
      <c r="O94" s="6">
        <f t="shared" ref="O94" si="883">AVERAGE(N92:N94)</f>
        <v>3.7916362322827656E-2</v>
      </c>
      <c r="P94" s="6">
        <f t="shared" ref="P94" si="884">AVERAGE(N89:N94)</f>
        <v>2.5340493301403699E-2</v>
      </c>
      <c r="Q94" s="27">
        <f t="shared" ref="Q94" si="885">AVERAGE(N83:N94)</f>
        <v>2.5466399428336117E-2</v>
      </c>
      <c r="R94" s="2">
        <f>'[59]Parts 4 - 6 '!$C$58</f>
        <v>0</v>
      </c>
      <c r="S94" s="26">
        <f>'[59]Parts 7-10'!$C$4</f>
        <v>36541825.140000001</v>
      </c>
      <c r="T94" s="26">
        <f>'[59]Parts 7-10'!$E$4</f>
        <v>1012304.13</v>
      </c>
      <c r="U94" s="26">
        <f>'[59]Parts 7-10'!$F$4</f>
        <v>986234.04</v>
      </c>
      <c r="V94" s="26">
        <f>'[59]Parts 7-10'!$G$4</f>
        <v>407085.22</v>
      </c>
      <c r="W94" s="26">
        <f>'[59]Parts 7-10'!$H$4</f>
        <v>220830.1</v>
      </c>
      <c r="X94" s="26">
        <f>'[59]Parts 7-10'!$J$4</f>
        <v>186762.15</v>
      </c>
      <c r="Y94" s="38">
        <f>'[59]Parts 7-10'!$P$15</f>
        <v>0</v>
      </c>
      <c r="Z94" s="26">
        <f t="shared" ref="Z94" si="886">+Z93+Y94</f>
        <v>1457752.4199999995</v>
      </c>
      <c r="AA94" s="4">
        <f t="shared" ref="AA94" si="887">+Z94/$D$4</f>
        <v>1.9436666411903086E-2</v>
      </c>
      <c r="AB94" s="2">
        <f>'[59]Part 11'!$V$8</f>
        <v>31042602.839000024</v>
      </c>
      <c r="AC94" s="4">
        <f t="shared" ref="AC94" si="888">+AB94/AB$4</f>
        <v>0.45483667163370001</v>
      </c>
      <c r="AD94" s="25">
        <f t="shared" ref="AD94" si="889">+$AD$2*AB94</f>
        <v>25584562.779395621</v>
      </c>
      <c r="AE94" s="2">
        <f>'[59]Part 11'!$V$9</f>
        <v>6000000</v>
      </c>
      <c r="AF94" s="8">
        <f t="shared" ref="AF94" si="890">+AE94/$AE$4</f>
        <v>1</v>
      </c>
      <c r="AG94" s="2">
        <f>'[59]Part 11'!$V$10</f>
        <v>750000</v>
      </c>
      <c r="AH94" s="8">
        <f t="shared" ref="AH94" si="891">+AG94/$AG$4</f>
        <v>1</v>
      </c>
      <c r="AI94" s="8">
        <f t="shared" ref="AI94" si="892">+AB94/D94</f>
        <v>0.78023357299993479</v>
      </c>
      <c r="AJ94" s="2">
        <f t="shared" ref="AJ94" si="893">+AB94*0.01</f>
        <v>310426.02839000023</v>
      </c>
      <c r="AK94" s="4">
        <f t="shared" ref="AK94" si="894">((+D94+AJ94)-AB94)/D94</f>
        <v>0.22756876273006446</v>
      </c>
      <c r="AL94" s="4">
        <f t="shared" ref="AL94" si="895">+S94/$D94</f>
        <v>0.91845258404367336</v>
      </c>
      <c r="AM94" s="4">
        <f t="shared" ref="AM94" si="896">+T94/$D94</f>
        <v>2.5443538752497646E-2</v>
      </c>
      <c r="AN94" s="4">
        <f t="shared" ref="AN94" si="897">+U94/$D94</f>
        <v>2.4788285725725837E-2</v>
      </c>
      <c r="AO94" s="4">
        <f t="shared" ref="AO94" si="898">+V94/$D94</f>
        <v>1.0231795231971472E-2</v>
      </c>
      <c r="AP94" s="4">
        <f t="shared" ref="AP94" si="899">+W94/$D94</f>
        <v>5.5504062865652142E-3</v>
      </c>
      <c r="AQ94" s="4">
        <f t="shared" ref="AQ94" si="900">+X94/$D94</f>
        <v>4.6941327810494831E-3</v>
      </c>
      <c r="AR94" s="4">
        <f t="shared" ref="AR94" si="901">+Y94/$D94</f>
        <v>0</v>
      </c>
    </row>
    <row r="95" spans="1:44" x14ac:dyDescent="0.25">
      <c r="A95">
        <f t="shared" si="26"/>
        <v>91</v>
      </c>
      <c r="B95" s="3">
        <f t="shared" si="90"/>
        <v>44635</v>
      </c>
      <c r="C95" s="41">
        <f>'[60]Part 1'!$C$18</f>
        <v>1917</v>
      </c>
      <c r="D95" s="2">
        <f>'[60]Part 1'!$C$22</f>
        <v>39541114.450000003</v>
      </c>
      <c r="E95" s="8">
        <f t="shared" si="817"/>
        <v>0.52721397719890672</v>
      </c>
      <c r="F95" s="1">
        <f>'[60]Parts 2 - 3'!$C$49</f>
        <v>91542.57</v>
      </c>
      <c r="G95" s="1"/>
      <c r="H95" s="1"/>
      <c r="I95" s="1"/>
      <c r="J95" s="1"/>
      <c r="K95" s="1"/>
      <c r="L95" s="1"/>
      <c r="M95" s="6">
        <f t="shared" ref="M95" si="902">+F95/D94</f>
        <v>2.3008568850728965E-3</v>
      </c>
      <c r="N95" s="6">
        <f t="shared" ref="N95" si="903">1-(+M95-1)^12</f>
        <v>2.7263548333099186E-2</v>
      </c>
      <c r="O95" s="6">
        <f t="shared" ref="O95" si="904">AVERAGE(N93:N95)</f>
        <v>3.0537162492997687E-2</v>
      </c>
      <c r="P95" s="6">
        <f t="shared" ref="P95" si="905">AVERAGE(N90:N95)</f>
        <v>2.7370714887894665E-2</v>
      </c>
      <c r="Q95" s="27">
        <f t="shared" ref="Q95" si="906">AVERAGE(N84:N95)</f>
        <v>2.707829940047991E-2</v>
      </c>
      <c r="R95" s="2">
        <f>'[60]Parts 4 - 6 '!$C$58</f>
        <v>0</v>
      </c>
      <c r="S95" s="26">
        <f>'[60]Parts 7-10'!$C$4</f>
        <v>36476893.799999997</v>
      </c>
      <c r="T95" s="26">
        <f>'[60]Parts 7-10'!$E$4</f>
        <v>882166.73</v>
      </c>
      <c r="U95" s="26">
        <f>'[60]Parts 7-10'!$F$4</f>
        <v>847318.89</v>
      </c>
      <c r="V95" s="26">
        <f>'[60]Parts 7-10'!$G$4</f>
        <v>339113.64</v>
      </c>
      <c r="W95" s="26">
        <f>'[60]Parts 7-10'!$H$4</f>
        <v>356730.88</v>
      </c>
      <c r="X95" s="26">
        <f>'[60]Parts 7-10'!$J$4</f>
        <v>162713.70000000001</v>
      </c>
      <c r="Y95" s="38">
        <f>'[60]Parts 7-10'!$P$15</f>
        <v>139004.70000000001</v>
      </c>
      <c r="Z95" s="26">
        <f t="shared" ref="Z95" si="907">+Z94+Y95</f>
        <v>1596757.1199999994</v>
      </c>
      <c r="AA95" s="4">
        <f t="shared" ref="AA95" si="908">+Z95/$D$4</f>
        <v>2.1290059310806089E-2</v>
      </c>
      <c r="AB95" s="2">
        <f>'[60]Part 11'!$U$8</f>
        <v>30838258.389000025</v>
      </c>
      <c r="AC95" s="4">
        <f t="shared" ref="AC95" si="909">+AB95/AB$4</f>
        <v>0.45184261375824214</v>
      </c>
      <c r="AD95" s="25">
        <f t="shared" ref="AD95" si="910">+$AD$2*AB95</f>
        <v>25416147.023901116</v>
      </c>
      <c r="AE95" s="2">
        <f>'[60]Part 11'!$U$9</f>
        <v>6000000</v>
      </c>
      <c r="AF95" s="8">
        <f t="shared" ref="AF95" si="911">+AE95/$AE$4</f>
        <v>1</v>
      </c>
      <c r="AG95" s="2">
        <f>'[60]Part 11'!$U$10</f>
        <v>750000</v>
      </c>
      <c r="AH95" s="8">
        <f t="shared" ref="AH95" si="912">+AG95/$AG$4</f>
        <v>1</v>
      </c>
      <c r="AI95" s="8">
        <f t="shared" ref="AI95" si="913">+AB95/D95</f>
        <v>0.77990362229155685</v>
      </c>
      <c r="AJ95" s="2">
        <f t="shared" ref="AJ95" si="914">+AB95*0.01</f>
        <v>308382.58389000024</v>
      </c>
      <c r="AK95" s="4">
        <f t="shared" ref="AK95" si="915">((+D95+AJ95)-AB95)/D95</f>
        <v>0.22789541393135862</v>
      </c>
      <c r="AL95" s="4">
        <f t="shared" ref="AL95" si="916">+S95/$D95</f>
        <v>0.92250545558409258</v>
      </c>
      <c r="AM95" s="4">
        <f t="shared" ref="AM95" si="917">+T95/$D95</f>
        <v>2.2310112961421599E-2</v>
      </c>
      <c r="AN95" s="4">
        <f t="shared" ref="AN95" si="918">+U95/$D95</f>
        <v>2.1428806491315268E-2</v>
      </c>
      <c r="AO95" s="4">
        <f t="shared" ref="AO95" si="919">+V95/$D95</f>
        <v>8.5762286854309949E-3</v>
      </c>
      <c r="AP95" s="4">
        <f t="shared" ref="AP95" si="920">+W95/$D95</f>
        <v>9.0217710087834909E-3</v>
      </c>
      <c r="AQ95" s="4">
        <f t="shared" ref="AQ95" si="921">+X95/$D95</f>
        <v>4.1150509352929987E-3</v>
      </c>
      <c r="AR95" s="4">
        <f t="shared" ref="AR95" si="922">+Y95/$D95</f>
        <v>3.5154471980240304E-3</v>
      </c>
    </row>
    <row r="96" spans="1:44" x14ac:dyDescent="0.25">
      <c r="A96">
        <f t="shared" si="26"/>
        <v>92</v>
      </c>
      <c r="B96" s="3">
        <f t="shared" si="90"/>
        <v>44666</v>
      </c>
      <c r="C96" s="41">
        <f>'[61]Part 1'!$C$18</f>
        <v>1910</v>
      </c>
      <c r="D96" s="2">
        <f>'[61]Part 1'!$C$22</f>
        <v>39322787.07</v>
      </c>
      <c r="E96" s="8">
        <f t="shared" si="817"/>
        <v>0.52430295033630359</v>
      </c>
      <c r="F96" s="1">
        <f>'[61]Parts 2 - 3'!$C$49</f>
        <v>49649.4</v>
      </c>
      <c r="G96" s="1"/>
      <c r="H96" s="1"/>
      <c r="I96" s="1"/>
      <c r="J96" s="1"/>
      <c r="K96" s="1"/>
      <c r="L96" s="1"/>
      <c r="M96" s="6">
        <f t="shared" ref="M96" si="923">+F96/D95</f>
        <v>1.255639874864478E-3</v>
      </c>
      <c r="N96" s="6">
        <f t="shared" ref="N96" si="924">1-(+M96-1)^12</f>
        <v>1.4964055121596043E-2</v>
      </c>
      <c r="O96" s="6">
        <f t="shared" ref="O96" si="925">AVERAGE(N94:N96)</f>
        <v>1.8930092157782224E-2</v>
      </c>
      <c r="P96" s="6">
        <f t="shared" ref="P96" si="926">AVERAGE(N91:N96)</f>
        <v>2.7549304805424796E-2</v>
      </c>
      <c r="Q96" s="27">
        <f t="shared" ref="Q96" si="927">AVERAGE(N85:N96)</f>
        <v>2.5101114801896713E-2</v>
      </c>
      <c r="R96" s="2">
        <f>'[61]Parts 4 - 6 '!$C$58</f>
        <v>0</v>
      </c>
      <c r="S96" s="26">
        <f>'[61]Parts 7-10'!$C$4</f>
        <v>36361501.899999999</v>
      </c>
      <c r="T96" s="26">
        <f>'[61]Parts 7-10'!$E$4</f>
        <v>872700.47</v>
      </c>
      <c r="U96" s="26">
        <f>'[61]Parts 7-10'!$F$4</f>
        <v>732344.69</v>
      </c>
      <c r="V96" s="26">
        <f>'[61]Parts 7-10'!$G$4</f>
        <v>338535.25</v>
      </c>
      <c r="W96" s="26">
        <f>'[61]Parts 7-10'!$H$4</f>
        <v>235634.4</v>
      </c>
      <c r="X96" s="26">
        <f>'[61]Parts 7-10'!$J$4</f>
        <v>299428.45</v>
      </c>
      <c r="Y96" s="38">
        <f>'[61]Parts 7-10'!$P$15</f>
        <v>15126.51</v>
      </c>
      <c r="Z96" s="26">
        <f t="shared" ref="Z96" si="928">+Z95+Y96</f>
        <v>1611883.6299999994</v>
      </c>
      <c r="AA96" s="4">
        <f t="shared" ref="AA96" si="929">+Z96/$D$4</f>
        <v>2.1491745773344298E-2</v>
      </c>
      <c r="AB96" s="2">
        <f>'[61]Part 11'!$U$8</f>
        <v>30651483.469000023</v>
      </c>
      <c r="AC96" s="4">
        <f t="shared" ref="AC96" si="930">+AB96/AB$4</f>
        <v>0.44910598489377324</v>
      </c>
      <c r="AD96" s="25">
        <f t="shared" ref="AD96" si="931">+$AD$2*AB96</f>
        <v>25262211.650274742</v>
      </c>
      <c r="AE96" s="2">
        <f>'[61]Part 11'!$U$9</f>
        <v>6000000</v>
      </c>
      <c r="AF96" s="8">
        <f t="shared" ref="AF96" si="932">+AE96/$AE$4</f>
        <v>1</v>
      </c>
      <c r="AG96" s="2">
        <f>'[61]Part 11'!$U$10</f>
        <v>750000</v>
      </c>
      <c r="AH96" s="8">
        <f t="shared" ref="AH96" si="933">+AG96/$AG$4</f>
        <v>1</v>
      </c>
      <c r="AI96" s="8">
        <f t="shared" ref="AI96" si="934">+AB96/D96</f>
        <v>0.77948400286165231</v>
      </c>
      <c r="AJ96" s="2">
        <f t="shared" ref="AJ96" si="935">+AB96*0.01</f>
        <v>306514.83469000022</v>
      </c>
      <c r="AK96" s="4">
        <f t="shared" ref="AK96" si="936">((+D96+AJ96)-AB96)/D96</f>
        <v>0.22831083716696418</v>
      </c>
      <c r="AL96" s="4">
        <f t="shared" ref="AL96" si="937">+S96/$D96</f>
        <v>0.92469289715582714</v>
      </c>
      <c r="AM96" s="4">
        <f t="shared" ref="AM96" si="938">+T96/$D96</f>
        <v>2.2193250657601468E-2</v>
      </c>
      <c r="AN96" s="4">
        <f t="shared" ref="AN96" si="939">+U96/$D96</f>
        <v>1.8623926343174127E-2</v>
      </c>
      <c r="AO96" s="4">
        <f t="shared" ref="AO96" si="940">+V96/$D96</f>
        <v>8.6091367175312478E-3</v>
      </c>
      <c r="AP96" s="4">
        <f t="shared" ref="AP96" si="941">+W96/$D96</f>
        <v>5.9923117753718259E-3</v>
      </c>
      <c r="AQ96" s="4">
        <f t="shared" ref="AQ96" si="942">+X96/$D96</f>
        <v>7.6146293869500132E-3</v>
      </c>
      <c r="AR96" s="4">
        <f t="shared" ref="AR96" si="943">+Y96/$D96</f>
        <v>3.8467542936549028E-4</v>
      </c>
    </row>
    <row r="97" spans="1:44" x14ac:dyDescent="0.25">
      <c r="A97">
        <f t="shared" si="26"/>
        <v>93</v>
      </c>
      <c r="B97" s="3">
        <f t="shared" si="90"/>
        <v>44696</v>
      </c>
      <c r="C97" s="41">
        <f>'[62]Part 1'!$C$18</f>
        <v>1900</v>
      </c>
      <c r="D97" s="2">
        <f>'[62]Part 1'!$C$22</f>
        <v>39135452.920000002</v>
      </c>
      <c r="E97" s="8">
        <f t="shared" si="817"/>
        <v>0.52180516584892989</v>
      </c>
      <c r="F97" s="1">
        <f>'[62]Parts 2 - 3'!$C$49</f>
        <v>52313.49</v>
      </c>
      <c r="G97" s="1"/>
      <c r="H97" s="1"/>
      <c r="I97" s="1"/>
      <c r="J97" s="1"/>
      <c r="K97" s="1"/>
      <c r="L97" s="1"/>
      <c r="M97" s="6">
        <f t="shared" ref="M97" si="944">+F97/D96</f>
        <v>1.3303606864608745E-3</v>
      </c>
      <c r="N97" s="6">
        <f t="shared" ref="N97" si="945">1-(+M97-1)^12</f>
        <v>1.5848033960930819E-2</v>
      </c>
      <c r="O97" s="6">
        <f t="shared" ref="O97" si="946">AVERAGE(N95:N97)</f>
        <v>1.9358545805208682E-2</v>
      </c>
      <c r="P97" s="6">
        <f t="shared" ref="P97" si="947">AVERAGE(N92:N97)</f>
        <v>2.8637454064018169E-2</v>
      </c>
      <c r="Q97" s="27">
        <f t="shared" ref="Q97" si="948">AVERAGE(N86:N97)</f>
        <v>2.4970890837989146E-2</v>
      </c>
      <c r="R97" s="2">
        <f>'[62]Parts 4 - 6 '!$C$58</f>
        <v>0</v>
      </c>
      <c r="S97" s="26">
        <f>'[62]Parts 7-10'!$C$4</f>
        <v>35610916.550000004</v>
      </c>
      <c r="T97" s="26">
        <f>'[62]Parts 7-10'!$E$4</f>
        <v>980866.4</v>
      </c>
      <c r="U97" s="26">
        <f>'[62]Parts 7-10'!$F$4</f>
        <v>885688.3</v>
      </c>
      <c r="V97" s="26">
        <f>'[62]Parts 7-10'!$G$4</f>
        <v>369532.35</v>
      </c>
      <c r="W97" s="26">
        <f>'[62]Parts 7-10'!$H$4</f>
        <v>258244.93</v>
      </c>
      <c r="X97" s="26">
        <f>'[62]Parts 7-10'!$J$4</f>
        <v>208775.56</v>
      </c>
      <c r="Y97" s="38">
        <f>'[62]Deemed Default'!$G$94</f>
        <v>304447.2</v>
      </c>
      <c r="Z97" s="26">
        <f t="shared" ref="Z97" si="949">+Z96+Y97</f>
        <v>1916330.8299999994</v>
      </c>
      <c r="AA97" s="4">
        <f t="shared" ref="AA97" si="950">+Z97/$D$4</f>
        <v>2.5551034981341595E-2</v>
      </c>
      <c r="AB97" s="2">
        <f>'[62]Part 11'!$U$8</f>
        <v>30502879.059000023</v>
      </c>
      <c r="AC97" s="4">
        <f t="shared" ref="AC97" si="951">+AB97/AB$4</f>
        <v>0.44692863090109924</v>
      </c>
      <c r="AD97" s="25">
        <f t="shared" ref="AD97" si="952">+$AD$2*AB97</f>
        <v>25139735.488186829</v>
      </c>
      <c r="AE97" s="2">
        <f>'[62]Part 11'!$U$9</f>
        <v>6000000</v>
      </c>
      <c r="AF97" s="8">
        <f t="shared" ref="AF97" si="953">+AE97/$AE$4</f>
        <v>1</v>
      </c>
      <c r="AG97" s="2">
        <f>'[62]Part 11'!$U$10</f>
        <v>750000</v>
      </c>
      <c r="AH97" s="8">
        <f t="shared" ref="AH97" si="954">+AG97/$AG$4</f>
        <v>1</v>
      </c>
      <c r="AI97" s="8">
        <f t="shared" ref="AI97" si="955">+AB97/D97</f>
        <v>0.77941806681919501</v>
      </c>
      <c r="AJ97" s="2">
        <f t="shared" ref="AJ97" si="956">+AB97*0.01</f>
        <v>305028.79059000022</v>
      </c>
      <c r="AK97" s="4">
        <f t="shared" ref="AK97" si="957">((+D97+AJ97)-AB97)/D97</f>
        <v>0.228376113848997</v>
      </c>
      <c r="AL97" s="4">
        <f t="shared" ref="AL97" si="958">+S97/$D97</f>
        <v>0.90994006439110875</v>
      </c>
      <c r="AM97" s="4">
        <f t="shared" ref="AM97" si="959">+T97/$D97</f>
        <v>2.5063371618697493E-2</v>
      </c>
      <c r="AN97" s="4">
        <f t="shared" ref="AN97" si="960">+U97/$D97</f>
        <v>2.2631354281513194E-2</v>
      </c>
      <c r="AO97" s="4">
        <f t="shared" ref="AO97" si="961">+V97/$D97</f>
        <v>9.4423935952751455E-3</v>
      </c>
      <c r="AP97" s="4">
        <f t="shared" ref="AP97" si="962">+W97/$D97</f>
        <v>6.5987464238091145E-3</v>
      </c>
      <c r="AQ97" s="4">
        <f t="shared" ref="AQ97" si="963">+X97/$D97</f>
        <v>5.3346912945347862E-3</v>
      </c>
      <c r="AR97" s="4">
        <f t="shared" ref="AR97" si="964">+Y97/$D97</f>
        <v>7.7793197033478971E-3</v>
      </c>
    </row>
    <row r="98" spans="1:44" x14ac:dyDescent="0.25">
      <c r="A98">
        <f t="shared" si="26"/>
        <v>94</v>
      </c>
      <c r="B98" s="3">
        <f t="shared" si="90"/>
        <v>44727</v>
      </c>
      <c r="C98" s="41">
        <f>'[63]Part 1'!$C$18</f>
        <v>1888</v>
      </c>
      <c r="D98" s="2">
        <f>'[63]Part 1'!$C$22</f>
        <v>38890694.729999997</v>
      </c>
      <c r="E98" s="8">
        <f t="shared" ref="E98" si="965">+D98/D$4</f>
        <v>0.51854172877597937</v>
      </c>
      <c r="F98" s="1">
        <f>'[63]Parts 2 - 3'!$C$49</f>
        <v>87634.83</v>
      </c>
      <c r="G98" s="1"/>
      <c r="H98" s="1"/>
      <c r="I98" s="1"/>
      <c r="J98" s="1"/>
      <c r="K98" s="1"/>
      <c r="L98" s="1"/>
      <c r="M98" s="6">
        <f t="shared" ref="M98" si="966">+F98/D97</f>
        <v>2.2392695998470127E-3</v>
      </c>
      <c r="N98" s="6">
        <f t="shared" ref="N98" si="967">1-(+M98-1)^12</f>
        <v>2.6542747381384069E-2</v>
      </c>
      <c r="O98" s="6">
        <f t="shared" ref="O98" si="968">AVERAGE(N96:N98)</f>
        <v>1.9118278821303642E-2</v>
      </c>
      <c r="P98" s="6">
        <f t="shared" ref="P98" si="969">AVERAGE(N93:N98)</f>
        <v>2.4827720657150665E-2</v>
      </c>
      <c r="Q98" s="27">
        <f t="shared" ref="Q98" si="970">AVERAGE(N87:N98)</f>
        <v>2.2710540274638213E-2</v>
      </c>
      <c r="R98" s="2">
        <f>'[63]Parts 4 - 6 '!$C$58</f>
        <v>0</v>
      </c>
      <c r="S98" s="26">
        <f>'[63]Parts 7-10'!$C$4</f>
        <v>35717133.82</v>
      </c>
      <c r="T98" s="26">
        <f>'[63]Parts 7-10'!$E$4</f>
        <v>879367.58</v>
      </c>
      <c r="U98" s="26">
        <f>'[63]Parts 7-10'!$F$4</f>
        <v>795579.52</v>
      </c>
      <c r="V98" s="26">
        <f>'[63]Parts 7-10'!$G$4</f>
        <v>257491.93</v>
      </c>
      <c r="W98" s="26">
        <f>'[63]Parts 7-10'!$H$4</f>
        <v>212906.62</v>
      </c>
      <c r="X98" s="26">
        <f>'[63]Parts 7-10'!$J$4</f>
        <v>216927.84</v>
      </c>
      <c r="Y98" s="38">
        <f>'[63]Deemed Default'!$G$99</f>
        <v>89488.2</v>
      </c>
      <c r="Z98" s="26">
        <f t="shared" ref="Z98" si="971">+Z97+Y98</f>
        <v>2005819.0299999993</v>
      </c>
      <c r="AA98" s="4">
        <f t="shared" ref="AA98" si="972">+Z98/$D$4</f>
        <v>2.6744208984922854E-2</v>
      </c>
      <c r="AB98" s="2">
        <f>'[63]Part 11'!$U$8</f>
        <v>30262029.859000023</v>
      </c>
      <c r="AC98" s="4">
        <f t="shared" ref="AC98" si="973">+AB98/AB$4</f>
        <v>0.44339970489377323</v>
      </c>
      <c r="AD98" s="25">
        <f t="shared" ref="AD98" si="974">+$AD$2*AB98</f>
        <v>24941233.400274742</v>
      </c>
      <c r="AE98" s="2">
        <f>'[63]Part 11'!$U$9</f>
        <v>6000000</v>
      </c>
      <c r="AF98" s="8">
        <f t="shared" ref="AF98" si="975">+AE98/$AE$4</f>
        <v>1</v>
      </c>
      <c r="AG98" s="2">
        <f>'[63]Part 11'!$U$10</f>
        <v>750000</v>
      </c>
      <c r="AH98" s="8">
        <f t="shared" ref="AH98" si="976">+AG98/$AG$4</f>
        <v>1</v>
      </c>
      <c r="AI98" s="8">
        <f t="shared" ref="AI98" si="977">+AB98/D98</f>
        <v>0.7781303488943877</v>
      </c>
      <c r="AJ98" s="2">
        <f t="shared" ref="AJ98" si="978">+AB98*0.01</f>
        <v>302620.29859000025</v>
      </c>
      <c r="AK98" s="4">
        <f t="shared" ref="AK98" si="979">((+D98+AJ98)-AB98)/D98</f>
        <v>0.22965095459455606</v>
      </c>
      <c r="AL98" s="4">
        <f t="shared" ref="AL98" si="980">+S98/$D98</f>
        <v>0.91839793729496078</v>
      </c>
      <c r="AM98" s="4">
        <f t="shared" ref="AM98" si="981">+T98/$D98</f>
        <v>2.2611259225504714E-2</v>
      </c>
      <c r="AN98" s="4">
        <f t="shared" ref="AN98" si="982">+U98/$D98</f>
        <v>2.0456809155077804E-2</v>
      </c>
      <c r="AO98" s="4">
        <f t="shared" ref="AO98" si="983">+V98/$D98</f>
        <v>6.6209136089660182E-3</v>
      </c>
      <c r="AP98" s="4">
        <f t="shared" ref="AP98" si="984">+W98/$D98</f>
        <v>5.474487444313135E-3</v>
      </c>
      <c r="AQ98" s="4">
        <f t="shared" ref="AQ98" si="985">+X98/$D98</f>
        <v>5.5778854429325338E-3</v>
      </c>
      <c r="AR98" s="4">
        <f t="shared" ref="AR98" si="986">+Y98/$D98</f>
        <v>2.301018292968921E-3</v>
      </c>
    </row>
    <row r="99" spans="1:44" x14ac:dyDescent="0.25">
      <c r="A99">
        <f t="shared" si="26"/>
        <v>95</v>
      </c>
      <c r="B99" s="3">
        <f t="shared" si="90"/>
        <v>44757</v>
      </c>
      <c r="C99" s="41">
        <f>'[64]Part 1'!$C$18</f>
        <v>1882</v>
      </c>
      <c r="D99" s="2">
        <f>'[64]Part 1'!$C$22</f>
        <v>38682165.490000002</v>
      </c>
      <c r="E99" s="8">
        <f t="shared" ref="E99" si="987">+D99/D$4</f>
        <v>0.51576134356145331</v>
      </c>
      <c r="F99" s="1">
        <f>'[64]Parts 2 - 3'!$C$49</f>
        <v>69301.259999999995</v>
      </c>
      <c r="G99" s="1"/>
      <c r="H99" s="1"/>
      <c r="I99" s="1"/>
      <c r="J99" s="1"/>
      <c r="K99" s="1"/>
      <c r="L99" s="1"/>
      <c r="M99" s="6">
        <f t="shared" ref="M99" si="988">+F99/D98</f>
        <v>1.7819496535386268E-3</v>
      </c>
      <c r="N99" s="6">
        <f t="shared" ref="N99" si="989">1-(+M99-1)^12</f>
        <v>2.1175062951113599E-2</v>
      </c>
      <c r="O99" s="6">
        <f t="shared" ref="O99" si="990">AVERAGE(N97:N99)</f>
        <v>2.1188614764476161E-2</v>
      </c>
      <c r="P99" s="6">
        <f t="shared" ref="P99" si="991">AVERAGE(N94:N99)</f>
        <v>2.0059353461129192E-2</v>
      </c>
      <c r="Q99" s="27">
        <f t="shared" ref="Q99" si="992">AVERAGE(N88:N99)</f>
        <v>2.2851536833852892E-2</v>
      </c>
      <c r="R99" s="2">
        <f>'[64]Parts 4 - 6 '!$C$58</f>
        <v>0</v>
      </c>
      <c r="S99" s="26">
        <f>'[64]Parts 7-10'!$C$4</f>
        <v>35488396.940000005</v>
      </c>
      <c r="T99" s="26">
        <f>'[64]Parts 7-10'!$E$4</f>
        <v>1052707.5900000001</v>
      </c>
      <c r="U99" s="26">
        <f>'[64]Parts 7-10'!$F$4</f>
        <v>533504.31999999995</v>
      </c>
      <c r="V99" s="26">
        <f>'[64]Parts 7-10'!$G$4</f>
        <v>433205.8</v>
      </c>
      <c r="W99" s="26">
        <f>'[64]Parts 7-10'!$H$4</f>
        <v>200105.23</v>
      </c>
      <c r="X99" s="26">
        <f>'[64]Parts 7-10'!$J$4</f>
        <v>172300.59</v>
      </c>
      <c r="Y99" s="38">
        <f>'[64]Deemed Default'!$G$102</f>
        <v>63494.1</v>
      </c>
      <c r="Z99" s="26">
        <f t="shared" ref="Z99" si="993">+Z98+Y99</f>
        <v>2069313.1299999994</v>
      </c>
      <c r="AA99" s="4">
        <f t="shared" ref="AA99" si="994">+Z99/$D$4</f>
        <v>2.7590795568414182E-2</v>
      </c>
      <c r="AB99" s="2">
        <f>'[64]Part 11'!$U$8</f>
        <v>30091312.519000024</v>
      </c>
      <c r="AC99" s="4">
        <f t="shared" ref="AC99" si="995">+AB99/AB$4</f>
        <v>0.44089835192674026</v>
      </c>
      <c r="AD99" s="25">
        <f t="shared" ref="AD99" si="996">+$AD$2*AB99</f>
        <v>24800532.29587914</v>
      </c>
      <c r="AE99" s="2">
        <f>'[64]Part 11'!$U$9</f>
        <v>6000000</v>
      </c>
      <c r="AF99" s="8">
        <f t="shared" ref="AF99" si="997">+AE99/$AE$4</f>
        <v>1</v>
      </c>
      <c r="AG99" s="2">
        <f>'[64]Part 11'!$U$10</f>
        <v>750000</v>
      </c>
      <c r="AH99" s="8">
        <f t="shared" ref="AH99" si="998">+AG99/$AG$4</f>
        <v>1</v>
      </c>
      <c r="AI99" s="8">
        <f t="shared" ref="AI99" si="999">+AB99/D99</f>
        <v>0.77791178797317173</v>
      </c>
      <c r="AJ99" s="2">
        <f t="shared" ref="AJ99" si="1000">+AB99*0.01</f>
        <v>300913.12519000022</v>
      </c>
      <c r="AK99" s="4">
        <f t="shared" ref="AK99" si="1001">((+D99+AJ99)-AB99)/D99</f>
        <v>0.22986732990655986</v>
      </c>
      <c r="AL99" s="4">
        <f t="shared" ref="AL99" si="1002">+S99/$D99</f>
        <v>0.91743563191089594</v>
      </c>
      <c r="AM99" s="4">
        <f t="shared" ref="AM99" si="1003">+T99/$D99</f>
        <v>2.721428794549113E-2</v>
      </c>
      <c r="AN99" s="4">
        <f t="shared" ref="AN99" si="1004">+U99/$D99</f>
        <v>1.3791997248393964E-2</v>
      </c>
      <c r="AO99" s="4">
        <f t="shared" ref="AO99" si="1005">+V99/$D99</f>
        <v>1.1199109318530553E-2</v>
      </c>
      <c r="AP99" s="4">
        <f t="shared" ref="AP99" si="1006">+W99/$D99</f>
        <v>5.1730617318136085E-3</v>
      </c>
      <c r="AQ99" s="4">
        <f t="shared" ref="AQ99" si="1007">+X99/$D99</f>
        <v>4.454264331311613E-3</v>
      </c>
      <c r="AR99" s="4">
        <f t="shared" ref="AR99" si="1008">+Y99/$D99</f>
        <v>1.6414308556850134E-3</v>
      </c>
    </row>
    <row r="100" spans="1:44" x14ac:dyDescent="0.25">
      <c r="A100">
        <f t="shared" si="26"/>
        <v>96</v>
      </c>
      <c r="B100" s="3">
        <f t="shared" si="90"/>
        <v>44788</v>
      </c>
      <c r="C100" s="41">
        <f>'[65]Part 1'!$C$18</f>
        <v>1869</v>
      </c>
      <c r="D100" s="2">
        <f>'[65]Part 1'!$C$22</f>
        <v>38410443.57</v>
      </c>
      <c r="E100" s="8">
        <f t="shared" ref="E100" si="1009">+D100/D$4</f>
        <v>0.51213839069004474</v>
      </c>
      <c r="F100" s="1">
        <f>'[65]Parts 2 - 3'!$C$49</f>
        <v>136121</v>
      </c>
      <c r="G100" s="1"/>
      <c r="H100" s="1"/>
      <c r="I100" s="1"/>
      <c r="J100" s="1"/>
      <c r="K100" s="1"/>
      <c r="L100" s="1"/>
      <c r="M100" s="6">
        <f t="shared" ref="M100" si="1010">+F100/D99</f>
        <v>3.5189601790827762E-3</v>
      </c>
      <c r="N100" s="6">
        <f t="shared" ref="N100" si="1011">1-(+M100-1)^12</f>
        <v>4.1419749966962405E-2</v>
      </c>
      <c r="O100" s="6">
        <f t="shared" ref="O100" si="1012">AVERAGE(N98:N100)</f>
        <v>2.9712520099820023E-2</v>
      </c>
      <c r="P100" s="6">
        <f t="shared" ref="P100" si="1013">AVERAGE(N95:N100)</f>
        <v>2.4535532952514354E-2</v>
      </c>
      <c r="Q100" s="27">
        <f t="shared" ref="Q100" si="1014">AVERAGE(N89:N100)</f>
        <v>2.4938013126959025E-2</v>
      </c>
      <c r="R100" s="2">
        <f>'[65]Parts 4 - 6 '!$C$58</f>
        <v>0</v>
      </c>
      <c r="S100" s="26">
        <f>'[65]Parts 7-10'!$C$4</f>
        <v>35095051.169999994</v>
      </c>
      <c r="T100" s="26">
        <f>'[65]Parts 7-10'!$E$4</f>
        <v>1076487.01</v>
      </c>
      <c r="U100" s="26">
        <f>'[65]Parts 7-10'!$F$4</f>
        <v>740681.89</v>
      </c>
      <c r="V100" s="26">
        <f>'[65]Parts 7-10'!$G$4</f>
        <v>335547.3</v>
      </c>
      <c r="W100" s="26">
        <f>'[65]Parts 7-10'!$H$4</f>
        <v>184388.86</v>
      </c>
      <c r="X100" s="26">
        <f>'[65]Parts 7-10'!$J$4</f>
        <v>159797.81</v>
      </c>
      <c r="Y100" s="38">
        <f>'[65]Deemed Default'!$G$107</f>
        <v>58993.599999999999</v>
      </c>
      <c r="Z100" s="26">
        <f t="shared" ref="Z100" si="1015">+Z99+Y100</f>
        <v>2128306.7299999995</v>
      </c>
      <c r="AA100" s="4">
        <f t="shared" ref="AA100" si="1016">+Z100/$D$4</f>
        <v>2.8377375585641833E-2</v>
      </c>
      <c r="AB100" s="2">
        <f>'[65]Part 11'!$U$8</f>
        <v>29858474.799000025</v>
      </c>
      <c r="AC100" s="4">
        <f t="shared" ref="AC100" si="1017">+AB100/AB$4</f>
        <v>0.43748681024175862</v>
      </c>
      <c r="AD100" s="25">
        <f t="shared" ref="AD100" si="1018">+$AD$2*AB100</f>
        <v>24608633.076098919</v>
      </c>
      <c r="AE100" s="2">
        <f>'[65]Part 11'!$U$9</f>
        <v>6000000</v>
      </c>
      <c r="AF100" s="8">
        <f t="shared" ref="AF100" si="1019">+AE100/$AE$4</f>
        <v>1</v>
      </c>
      <c r="AG100" s="2">
        <f>'[65]Part 11'!$U$10</f>
        <v>750000</v>
      </c>
      <c r="AH100" s="8">
        <f t="shared" ref="AH100" si="1020">+AG100/$AG$4</f>
        <v>1</v>
      </c>
      <c r="AI100" s="8">
        <f t="shared" ref="AI100" si="1021">+AB100/D100</f>
        <v>0.77735303276530276</v>
      </c>
      <c r="AJ100" s="2">
        <f t="shared" ref="AJ100" si="1022">+AB100*0.01</f>
        <v>298584.74799000024</v>
      </c>
      <c r="AK100" s="4">
        <f t="shared" ref="AK100" si="1023">((+D100+AJ100)-AB100)/D100</f>
        <v>0.23042049756235014</v>
      </c>
      <c r="AL100" s="4">
        <f t="shared" ref="AL100" si="1024">+S100/$D100</f>
        <v>0.91368513112955951</v>
      </c>
      <c r="AM100" s="4">
        <f t="shared" ref="AM100" si="1025">+T100/$D100</f>
        <v>2.8025893740023788E-2</v>
      </c>
      <c r="AN100" s="4">
        <f t="shared" ref="AN100" si="1026">+U100/$D100</f>
        <v>1.9283346432856622E-2</v>
      </c>
      <c r="AO100" s="4">
        <f t="shared" ref="AO100" si="1027">+V100/$D100</f>
        <v>8.7358350701806278E-3</v>
      </c>
      <c r="AP100" s="4">
        <f t="shared" ref="AP100" si="1028">+W100/$D100</f>
        <v>4.8004876502914066E-3</v>
      </c>
      <c r="AQ100" s="4">
        <f t="shared" ref="AQ100" si="1029">+X100/$D100</f>
        <v>4.1602698419449672E-3</v>
      </c>
      <c r="AR100" s="4">
        <f t="shared" ref="AR100" si="1030">+Y100/$D100</f>
        <v>1.5358739581460136E-3</v>
      </c>
    </row>
    <row r="101" spans="1:44" x14ac:dyDescent="0.25">
      <c r="A101">
        <f t="shared" si="26"/>
        <v>97</v>
      </c>
      <c r="B101" s="3">
        <f t="shared" si="90"/>
        <v>44819</v>
      </c>
      <c r="C101" s="41">
        <f>'[66]Part 1'!$C$18</f>
        <v>1865</v>
      </c>
      <c r="D101" s="2">
        <f>'[66]Part 1'!$C$22</f>
        <v>38225635.189999998</v>
      </c>
      <c r="E101" s="8">
        <f t="shared" ref="E101" si="1031">+D101/D$4</f>
        <v>0.50967428307965623</v>
      </c>
      <c r="F101" s="1">
        <f>'[66]Parts 2 - 3'!$C$49</f>
        <v>34548.370000000003</v>
      </c>
      <c r="G101" s="1"/>
      <c r="H101" s="1"/>
      <c r="I101" s="1"/>
      <c r="J101" s="1"/>
      <c r="K101" s="1"/>
      <c r="L101" s="1"/>
      <c r="M101" s="6">
        <f t="shared" ref="M101" si="1032">+F101/D100</f>
        <v>8.9945251314367991E-4</v>
      </c>
      <c r="N101" s="6">
        <f t="shared" ref="N101" si="1033">1-(+M101-1)^12</f>
        <v>1.0740194943357761E-2</v>
      </c>
      <c r="O101" s="6">
        <f t="shared" ref="O101" si="1034">AVERAGE(N99:N101)</f>
        <v>2.4445002620477923E-2</v>
      </c>
      <c r="P101" s="6">
        <f t="shared" ref="P101" si="1035">AVERAGE(N96:N101)</f>
        <v>2.1781640720890783E-2</v>
      </c>
      <c r="Q101" s="27">
        <f t="shared" ref="Q101" si="1036">AVERAGE(N90:N101)</f>
        <v>2.4576177804392724E-2</v>
      </c>
      <c r="R101" s="2">
        <f>'[66]Parts 4 - 6 '!$C$58</f>
        <v>0</v>
      </c>
      <c r="S101" s="26">
        <f>'[66]Parts 7-10'!$C$4</f>
        <v>35003755.660000004</v>
      </c>
      <c r="T101" s="26">
        <f>'[66]Parts 7-10'!$E$4</f>
        <v>990116.23</v>
      </c>
      <c r="U101" s="26">
        <f>'[66]Parts 7-10'!$F$4</f>
        <v>821522.22</v>
      </c>
      <c r="V101" s="26">
        <f>'[66]Parts 7-10'!$G$4</f>
        <v>321114.77</v>
      </c>
      <c r="W101" s="26">
        <f>'[66]Parts 7-10'!$H$4</f>
        <v>211195.79</v>
      </c>
      <c r="X101" s="26">
        <f>'[66]Parts 7-10'!$J$4</f>
        <v>37857.93</v>
      </c>
      <c r="Y101" s="38">
        <f>'[66]Deemed Default'!$G$107</f>
        <v>39437.93</v>
      </c>
      <c r="Z101" s="26">
        <f t="shared" ref="Z101" si="1037">+Z100+Y101</f>
        <v>2167744.6599999997</v>
      </c>
      <c r="AA101" s="4">
        <f t="shared" ref="AA101" si="1038">+Z101/$D$4</f>
        <v>2.8903213772476045E-2</v>
      </c>
      <c r="AB101" s="2">
        <f>'[66]Part 11'!$V$8</f>
        <v>29702549.91</v>
      </c>
      <c r="AC101" s="4">
        <f t="shared" ref="AC101" si="1039">+AB101/AB$4</f>
        <v>0.43520219648351649</v>
      </c>
      <c r="AD101" s="25">
        <f t="shared" ref="AD101" si="1040">+$AD$2*AB101</f>
        <v>24480123.552197803</v>
      </c>
      <c r="AE101" s="2">
        <f>'[66]Part 11'!$V$9</f>
        <v>6000000</v>
      </c>
      <c r="AF101" s="8">
        <f t="shared" ref="AF101" si="1041">+AE101/$AE$4</f>
        <v>1</v>
      </c>
      <c r="AG101" s="2">
        <f>'[66]Part 11'!$V$10</f>
        <v>750000</v>
      </c>
      <c r="AH101" s="8">
        <f t="shared" ref="AH101" si="1042">+AG101/$AG$4</f>
        <v>1</v>
      </c>
      <c r="AI101" s="8">
        <f t="shared" ref="AI101" si="1043">+AB101/D101</f>
        <v>0.77703221313037396</v>
      </c>
      <c r="AJ101" s="2">
        <f t="shared" ref="AJ101" si="1044">+AB101*0.01</f>
        <v>297025.49910000002</v>
      </c>
      <c r="AK101" s="4">
        <f t="shared" ref="AK101" si="1045">((+D101+AJ101)-AB101)/D101</f>
        <v>0.23073810900092978</v>
      </c>
      <c r="AL101" s="4">
        <f t="shared" ref="AL101" si="1046">+S101/$D101</f>
        <v>0.91571416631834412</v>
      </c>
      <c r="AM101" s="4">
        <f t="shared" ref="AM101" si="1047">+T101/$D101</f>
        <v>2.5901890840495934E-2</v>
      </c>
      <c r="AN101" s="4">
        <f t="shared" ref="AN101" si="1048">+U101/$D101</f>
        <v>2.1491394869349718E-2</v>
      </c>
      <c r="AO101" s="4">
        <f t="shared" ref="AO101" si="1049">+V101/$D101</f>
        <v>8.4005084128465999E-3</v>
      </c>
      <c r="AP101" s="4">
        <f t="shared" ref="AP101" si="1050">+W101/$D101</f>
        <v>5.524977909464531E-3</v>
      </c>
      <c r="AQ101" s="4">
        <f t="shared" ref="AQ101" si="1051">+X101/$D101</f>
        <v>9.9038066501256749E-4</v>
      </c>
      <c r="AR101" s="4">
        <f t="shared" ref="AR101:AR106" si="1052">+Y101/$D101</f>
        <v>1.0317141835308769E-3</v>
      </c>
    </row>
    <row r="102" spans="1:44" x14ac:dyDescent="0.25">
      <c r="A102">
        <f t="shared" si="26"/>
        <v>98</v>
      </c>
      <c r="B102" s="3">
        <f t="shared" si="90"/>
        <v>44849</v>
      </c>
      <c r="C102" s="41">
        <v>1856</v>
      </c>
      <c r="D102" s="2">
        <v>38018307.950000003</v>
      </c>
      <c r="E102" s="8">
        <f t="shared" ref="E102" si="1053">+D102/D$4</f>
        <v>0.50690992450498107</v>
      </c>
      <c r="F102" s="1">
        <v>63309.01</v>
      </c>
      <c r="G102" s="1"/>
      <c r="H102" s="1"/>
      <c r="I102" s="1"/>
      <c r="J102" s="1"/>
      <c r="K102" s="1"/>
      <c r="L102" s="1"/>
      <c r="M102" s="6">
        <f t="shared" ref="M102" si="1054">+F102/D101</f>
        <v>1.6561924919055874E-3</v>
      </c>
      <c r="N102" s="6">
        <f t="shared" ref="N102" si="1055">1-(+M102-1)^12</f>
        <v>1.9694269369039952E-2</v>
      </c>
      <c r="O102" s="6">
        <f t="shared" ref="O102" si="1056">AVERAGE(N100:N102)</f>
        <v>2.3951404759786705E-2</v>
      </c>
      <c r="P102" s="6">
        <f t="shared" ref="P102" si="1057">AVERAGE(N97:N102)</f>
        <v>2.2570009762131433E-2</v>
      </c>
      <c r="Q102" s="27">
        <f t="shared" ref="Q102" si="1058">AVERAGE(N91:N102)</f>
        <v>2.5059657283778115E-2</v>
      </c>
      <c r="R102" s="2">
        <v>0</v>
      </c>
      <c r="S102" s="26">
        <v>34665551</v>
      </c>
      <c r="T102" s="26">
        <v>998613</v>
      </c>
      <c r="U102" s="26">
        <v>735744</v>
      </c>
      <c r="V102" s="26">
        <v>569258</v>
      </c>
      <c r="W102" s="26">
        <v>127977</v>
      </c>
      <c r="X102" s="26">
        <v>79586</v>
      </c>
      <c r="Y102" s="38">
        <v>17369.349999999999</v>
      </c>
      <c r="Z102" s="26">
        <f t="shared" ref="Z102" si="1059">+Z101+Y102</f>
        <v>2185114.0099999998</v>
      </c>
      <c r="AA102" s="4">
        <f t="shared" ref="AA102" si="1060">+Z102/$D$4</f>
        <v>2.9134804718311411E-2</v>
      </c>
      <c r="AB102" s="2">
        <v>29531342.640000001</v>
      </c>
      <c r="AC102" s="4">
        <f t="shared" ref="AC102" si="1061">+AB102/AB$4</f>
        <v>0.43269366505494505</v>
      </c>
      <c r="AD102" s="25">
        <f t="shared" ref="AD102" si="1062">+$AD$2*AB102</f>
        <v>24339018.659340657</v>
      </c>
      <c r="AE102" s="2">
        <v>6000000</v>
      </c>
      <c r="AF102" s="8">
        <f t="shared" ref="AF102" si="1063">+AE102/$AE$4</f>
        <v>1</v>
      </c>
      <c r="AG102" s="2">
        <v>750000</v>
      </c>
      <c r="AH102" s="8">
        <f t="shared" ref="AH102" si="1064">+AG102/$AG$4</f>
        <v>1</v>
      </c>
      <c r="AI102" s="8">
        <f t="shared" ref="AI102" si="1065">+AB102/D102</f>
        <v>0.77676635895627755</v>
      </c>
      <c r="AJ102" s="2">
        <f t="shared" ref="AJ102" si="1066">+AB102*0.01</f>
        <v>295313.4264</v>
      </c>
      <c r="AK102" s="4">
        <f t="shared" ref="AK102" si="1067">((+D102+AJ102)-AB102)/D102</f>
        <v>0.23100130463328525</v>
      </c>
      <c r="AL102" s="4">
        <f t="shared" ref="AL102" si="1068">+S102/$D102</f>
        <v>0.91181204186126852</v>
      </c>
      <c r="AM102" s="4">
        <f t="shared" ref="AM102" si="1069">+T102/$D102</f>
        <v>2.6266634520224614E-2</v>
      </c>
      <c r="AN102" s="4">
        <f t="shared" ref="AN102" si="1070">+U102/$D102</f>
        <v>1.9352360472423391E-2</v>
      </c>
      <c r="AO102" s="4">
        <f t="shared" ref="AO102" si="1071">+V102/$D102</f>
        <v>1.4973259744980311E-2</v>
      </c>
      <c r="AP102" s="4">
        <f t="shared" ref="AP102" si="1072">+W102/$D102</f>
        <v>3.3661939970687201E-3</v>
      </c>
      <c r="AQ102" s="4">
        <f t="shared" ref="AQ102" si="1073">+X102/$D102</f>
        <v>2.0933598650594337E-3</v>
      </c>
      <c r="AR102" s="4">
        <f t="shared" si="1052"/>
        <v>4.5686804428128153E-4</v>
      </c>
    </row>
    <row r="103" spans="1:44" x14ac:dyDescent="0.25">
      <c r="A103">
        <f t="shared" si="26"/>
        <v>99</v>
      </c>
      <c r="B103" s="3">
        <f t="shared" si="90"/>
        <v>44880</v>
      </c>
      <c r="C103" s="41">
        <v>1848</v>
      </c>
      <c r="D103" s="2">
        <v>37827914.82</v>
      </c>
      <c r="E103" s="8">
        <f t="shared" ref="E103" si="1074">+D103/D$4</f>
        <v>0.50437135368585106</v>
      </c>
      <c r="F103" s="1">
        <v>34728.14</v>
      </c>
      <c r="G103" s="1"/>
      <c r="H103" s="1"/>
      <c r="I103" s="1"/>
      <c r="J103" s="1"/>
      <c r="K103" s="1"/>
      <c r="L103" s="1"/>
      <c r="M103" s="6">
        <f t="shared" ref="M103" si="1075">+F103/D102</f>
        <v>9.1345832764764049E-4</v>
      </c>
      <c r="N103" s="6">
        <f t="shared" ref="N103" si="1076">1-(+M103-1)^12</f>
        <v>1.0906596466908058E-2</v>
      </c>
      <c r="O103" s="6">
        <f t="shared" ref="O103" si="1077">AVERAGE(N101:N103)</f>
        <v>1.3780353593101924E-2</v>
      </c>
      <c r="P103" s="6">
        <f t="shared" ref="P103" si="1078">AVERAGE(N98:N103)</f>
        <v>2.1746436846460975E-2</v>
      </c>
      <c r="Q103" s="27">
        <f t="shared" ref="Q103" si="1079">AVERAGE(N92:N103)</f>
        <v>2.5191945455239572E-2</v>
      </c>
      <c r="R103" s="2">
        <v>0</v>
      </c>
      <c r="S103" s="26">
        <v>34410590</v>
      </c>
      <c r="T103" s="26">
        <v>1198489</v>
      </c>
      <c r="U103" s="26">
        <v>659080</v>
      </c>
      <c r="V103" s="26">
        <v>476296</v>
      </c>
      <c r="W103" s="26">
        <v>201046</v>
      </c>
      <c r="X103" s="26">
        <v>47001</v>
      </c>
      <c r="Y103" s="38">
        <v>16565.73</v>
      </c>
      <c r="Z103" s="26">
        <f t="shared" ref="Z103" si="1080">+Z102+Y103</f>
        <v>2201679.7399999998</v>
      </c>
      <c r="AA103" s="4">
        <f t="shared" ref="AA103" si="1081">+Z103/$D$4</f>
        <v>2.9355680748741637E-2</v>
      </c>
      <c r="AB103" s="2">
        <v>29375329.739999998</v>
      </c>
      <c r="AC103" s="4">
        <f t="shared" ref="AC103" si="1082">+AB103/AB$4</f>
        <v>0.43040776175824175</v>
      </c>
      <c r="AD103" s="25">
        <f t="shared" ref="AD103" si="1083">+$AD$2*AB103</f>
        <v>24210436.598901097</v>
      </c>
      <c r="AE103" s="2">
        <v>6000000</v>
      </c>
      <c r="AF103" s="8">
        <f t="shared" ref="AF103" si="1084">+AE103/$AE$4</f>
        <v>1</v>
      </c>
      <c r="AG103" s="2">
        <v>750000</v>
      </c>
      <c r="AH103" s="8">
        <f t="shared" ref="AH103" si="1085">+AG103/$AG$4</f>
        <v>1</v>
      </c>
      <c r="AI103" s="8">
        <f t="shared" ref="AI103" si="1086">+AB103/D103</f>
        <v>0.77655165186289798</v>
      </c>
      <c r="AJ103" s="2">
        <f t="shared" ref="AJ103" si="1087">+AB103*0.01</f>
        <v>293753.29739999998</v>
      </c>
      <c r="AK103" s="4">
        <f t="shared" ref="AK103" si="1088">((+D103+AJ103)-AB103)/D103</f>
        <v>0.23121386465573096</v>
      </c>
      <c r="AL103" s="4">
        <f t="shared" ref="AL103" si="1089">+S103/$D103</f>
        <v>0.90966129546762053</v>
      </c>
      <c r="AM103" s="4">
        <f t="shared" ref="AM103" si="1090">+T103/$D103</f>
        <v>3.1682660958260028E-2</v>
      </c>
      <c r="AN103" s="4">
        <f t="shared" ref="AN103" si="1091">+U103/$D103</f>
        <v>1.7423112088947017E-2</v>
      </c>
      <c r="AO103" s="4">
        <f t="shared" ref="AO103" si="1092">+V103/$D103</f>
        <v>1.2591124894575936E-2</v>
      </c>
      <c r="AP103" s="4">
        <f t="shared" ref="AP103" si="1093">+W103/$D103</f>
        <v>5.3147523715397858E-3</v>
      </c>
      <c r="AQ103" s="4">
        <f t="shared" ref="AQ103" si="1094">+X103/$D103</f>
        <v>1.2424951315357753E-3</v>
      </c>
      <c r="AR103" s="4">
        <f t="shared" si="1052"/>
        <v>4.3792342450875806E-4</v>
      </c>
    </row>
    <row r="104" spans="1:44" x14ac:dyDescent="0.25">
      <c r="A104">
        <f t="shared" si="26"/>
        <v>100</v>
      </c>
      <c r="B104" s="3">
        <f t="shared" si="90"/>
        <v>44910</v>
      </c>
      <c r="C104" s="41">
        <v>1840</v>
      </c>
      <c r="D104" s="2">
        <v>37647452.590000004</v>
      </c>
      <c r="E104" s="8">
        <f t="shared" ref="E104" si="1095">+D104/D$4</f>
        <v>0.50196519464516975</v>
      </c>
      <c r="F104" s="1">
        <v>35139.870000000003</v>
      </c>
      <c r="G104" s="1"/>
      <c r="H104" s="1"/>
      <c r="I104" s="1"/>
      <c r="J104" s="1"/>
      <c r="K104" s="1"/>
      <c r="L104" s="1"/>
      <c r="M104" s="6">
        <f t="shared" ref="M104" si="1096">+F104/D103</f>
        <v>9.2894017994936374E-4</v>
      </c>
      <c r="N104" s="6">
        <f t="shared" ref="N104" si="1097">1-(+M104-1)^12</f>
        <v>1.1090504774963983E-2</v>
      </c>
      <c r="O104" s="6">
        <f t="shared" ref="O104" si="1098">AVERAGE(N102:N104)</f>
        <v>1.3897123536970665E-2</v>
      </c>
      <c r="P104" s="6">
        <f t="shared" ref="P104" si="1099">AVERAGE(N99:N104)</f>
        <v>1.9171063078724293E-2</v>
      </c>
      <c r="Q104" s="27">
        <f t="shared" ref="Q104" si="1100">AVERAGE(N93:N104)</f>
        <v>2.1999391867937479E-2</v>
      </c>
      <c r="R104" s="2">
        <v>0</v>
      </c>
      <c r="S104" s="26">
        <v>34291914</v>
      </c>
      <c r="T104" s="26">
        <v>1135684</v>
      </c>
      <c r="U104" s="26">
        <v>622295</v>
      </c>
      <c r="V104" s="26">
        <v>477269</v>
      </c>
      <c r="W104" s="26">
        <v>162307</v>
      </c>
      <c r="X104" s="26">
        <v>155428</v>
      </c>
      <c r="Y104" s="38">
        <v>0</v>
      </c>
      <c r="Z104" s="26">
        <f t="shared" ref="Z104" si="1101">+Z103+Y104</f>
        <v>2201679.7399999998</v>
      </c>
      <c r="AA104" s="4">
        <f t="shared" ref="AA104" si="1102">+Z104/$D$4</f>
        <v>2.9355680748741637E-2</v>
      </c>
      <c r="AB104" s="2">
        <v>29230500.649999999</v>
      </c>
      <c r="AC104" s="4">
        <f t="shared" ref="AC104" si="1103">+AB104/AB$4</f>
        <v>0.42828572380952379</v>
      </c>
      <c r="AD104" s="25">
        <f t="shared" ref="AD104" si="1104">+$AD$2*AB104</f>
        <v>24091071.964285713</v>
      </c>
      <c r="AE104" s="2">
        <v>6000000</v>
      </c>
      <c r="AF104" s="8">
        <f t="shared" ref="AF104" si="1105">+AE104/$AE$4</f>
        <v>1</v>
      </c>
      <c r="AG104" s="2">
        <v>750000</v>
      </c>
      <c r="AH104" s="8">
        <f t="shared" ref="AH104" si="1106">+AG104/$AG$4</f>
        <v>1</v>
      </c>
      <c r="AI104" s="8">
        <f t="shared" ref="AI104" si="1107">+AB104/D104</f>
        <v>0.7764270525375272</v>
      </c>
      <c r="AJ104" s="2">
        <f t="shared" ref="AJ104" si="1108">+AB104*0.01</f>
        <v>292305.00650000002</v>
      </c>
      <c r="AK104" s="4">
        <f t="shared" ref="AK104" si="1109">((+D104+AJ104)-AB104)/D104</f>
        <v>0.23133721798784798</v>
      </c>
      <c r="AL104" s="4">
        <f t="shared" ref="AL104" si="1110">+S104/$D104</f>
        <v>0.91086943845727009</v>
      </c>
      <c r="AM104" s="4">
        <f t="shared" ref="AM104" si="1111">+T104/$D104</f>
        <v>3.0166290728038867E-2</v>
      </c>
      <c r="AN104" s="4">
        <f t="shared" ref="AN104" si="1112">+U104/$D104</f>
        <v>1.6529538048088155E-2</v>
      </c>
      <c r="AO104" s="4">
        <f t="shared" ref="AO104" si="1113">+V104/$D104</f>
        <v>1.2677325215007328E-2</v>
      </c>
      <c r="AP104" s="4">
        <f t="shared" ref="AP104" si="1114">+W104/$D104</f>
        <v>4.3112345944785737E-3</v>
      </c>
      <c r="AQ104" s="4">
        <f t="shared" ref="AQ104" si="1115">+X104/$D104</f>
        <v>4.1285130681401033E-3</v>
      </c>
      <c r="AR104" s="4">
        <f t="shared" si="1052"/>
        <v>0</v>
      </c>
    </row>
    <row r="105" spans="1:44" x14ac:dyDescent="0.25">
      <c r="A105">
        <f t="shared" si="26"/>
        <v>101</v>
      </c>
      <c r="B105" s="3">
        <f t="shared" si="90"/>
        <v>44941</v>
      </c>
      <c r="C105" s="41">
        <v>1831</v>
      </c>
      <c r="D105" s="2">
        <v>37469292.700000003</v>
      </c>
      <c r="E105" s="8">
        <f t="shared" ref="E105" si="1116">+D105/D$4</f>
        <v>0.49958973341979146</v>
      </c>
      <c r="F105" s="1">
        <v>29058.32</v>
      </c>
      <c r="G105" s="1"/>
      <c r="H105" s="1"/>
      <c r="I105" s="1"/>
      <c r="J105" s="1"/>
      <c r="K105" s="1"/>
      <c r="L105" s="1"/>
      <c r="M105" s="6">
        <f t="shared" ref="M105" si="1117">+F105/D104</f>
        <v>7.7185355185807527E-4</v>
      </c>
      <c r="N105" s="6">
        <f t="shared" ref="N105" si="1118">1-(+M105-1)^12</f>
        <v>9.2230235893883128E-3</v>
      </c>
      <c r="O105" s="6">
        <f t="shared" ref="O105" si="1119">AVERAGE(N103:N105)</f>
        <v>1.0406708277086785E-2</v>
      </c>
      <c r="P105" s="6">
        <f t="shared" ref="P105" si="1120">AVERAGE(N100:N105)</f>
        <v>1.7179056518436746E-2</v>
      </c>
      <c r="Q105" s="27">
        <f t="shared" ref="Q105" si="1121">AVERAGE(N94:N105)</f>
        <v>1.8619204989782968E-2</v>
      </c>
      <c r="R105" s="2">
        <v>0</v>
      </c>
      <c r="S105" s="26">
        <v>34202793</v>
      </c>
      <c r="T105" s="26">
        <v>1163184</v>
      </c>
      <c r="U105" s="26">
        <v>723437</v>
      </c>
      <c r="V105" s="26">
        <v>238479</v>
      </c>
      <c r="W105" s="26">
        <v>235577</v>
      </c>
      <c r="X105" s="26">
        <v>89712</v>
      </c>
      <c r="Y105" s="38">
        <v>109374.15</v>
      </c>
      <c r="Z105" s="26">
        <f t="shared" ref="Z105" si="1122">+Z104+Y105</f>
        <v>2311053.8899999997</v>
      </c>
      <c r="AA105" s="4">
        <f t="shared" ref="AA105" si="1123">+Z105/$D$4</f>
        <v>3.0814000308681349E-2</v>
      </c>
      <c r="AB105" s="2">
        <v>29086248.539999999</v>
      </c>
      <c r="AC105" s="4">
        <f t="shared" ref="AC105" si="1124">+AB105/AB$4</f>
        <v>0.42617213978021978</v>
      </c>
      <c r="AD105" s="25">
        <f t="shared" ref="AD105" si="1125">+$AD$2*AB105</f>
        <v>23972182.86263736</v>
      </c>
      <c r="AE105" s="2">
        <v>6000000</v>
      </c>
      <c r="AF105" s="8">
        <f t="shared" ref="AF105" si="1126">+AE105/$AE$4</f>
        <v>1</v>
      </c>
      <c r="AG105" s="2">
        <v>750000</v>
      </c>
      <c r="AH105" s="8">
        <f t="shared" ref="AH105" si="1127">+AG105/$AG$4</f>
        <v>1</v>
      </c>
      <c r="AI105" s="8">
        <f t="shared" ref="AI105" si="1128">+AB105/D105</f>
        <v>0.77626895102826421</v>
      </c>
      <c r="AJ105" s="2">
        <f>+AB105*0.01</f>
        <v>290862.48540000001</v>
      </c>
      <c r="AK105" s="4">
        <f t="shared" ref="AK105" si="1129">((+D105+AJ105)-AB105)/D105</f>
        <v>0.23149373848201843</v>
      </c>
      <c r="AL105" s="4">
        <f t="shared" ref="AL105" si="1130">+S105/$D105</f>
        <v>0.91282195460284199</v>
      </c>
      <c r="AM105" s="4">
        <f t="shared" ref="AM105" si="1131">+T105/$D105</f>
        <v>3.1043660453190243E-2</v>
      </c>
      <c r="AN105" s="4">
        <f t="shared" ref="AN105" si="1132">+U105/$D105</f>
        <v>1.9307463468612524E-2</v>
      </c>
      <c r="AO105" s="4">
        <f t="shared" ref="AO105" si="1133">+V105/$D105</f>
        <v>6.3646517672323174E-3</v>
      </c>
      <c r="AP105" s="4">
        <f t="shared" ref="AP105" si="1134">+W105/$D105</f>
        <v>6.287201679683694E-3</v>
      </c>
      <c r="AQ105" s="4">
        <f t="shared" ref="AQ105" si="1135">+X105/$D105</f>
        <v>2.3942805837912171E-3</v>
      </c>
      <c r="AR105" s="4">
        <f t="shared" si="1052"/>
        <v>2.9190342843060922E-3</v>
      </c>
    </row>
    <row r="106" spans="1:44" x14ac:dyDescent="0.25">
      <c r="A106">
        <f t="shared" si="26"/>
        <v>102</v>
      </c>
      <c r="B106" s="3">
        <f t="shared" si="90"/>
        <v>44972</v>
      </c>
      <c r="C106" s="41">
        <v>1818</v>
      </c>
      <c r="D106" s="2">
        <v>37216342.759999998</v>
      </c>
      <c r="E106" s="8">
        <f t="shared" ref="E106:E111" si="1136">+D106/D$4</f>
        <v>0.49621707319625979</v>
      </c>
      <c r="F106" s="1">
        <v>109633.51</v>
      </c>
      <c r="G106" s="1"/>
      <c r="H106" s="1"/>
      <c r="I106" s="1"/>
      <c r="J106" s="1"/>
      <c r="K106" s="1"/>
      <c r="L106" s="1"/>
      <c r="M106" s="6">
        <f t="shared" ref="M106" si="1137">+F106/D105</f>
        <v>2.9259562190774953E-3</v>
      </c>
      <c r="N106" s="6">
        <f t="shared" ref="N106" si="1138">1-(+M106-1)^12</f>
        <v>3.4551908956845567E-2</v>
      </c>
      <c r="O106" s="6">
        <f t="shared" ref="O106" si="1139">AVERAGE(N104:N106)</f>
        <v>1.8288479107065953E-2</v>
      </c>
      <c r="P106" s="6">
        <f t="shared" ref="P106" si="1140">AVERAGE(N101:N106)</f>
        <v>1.603441635008394E-2</v>
      </c>
      <c r="Q106" s="27">
        <f t="shared" ref="Q106" si="1141">AVERAGE(N95:N106)</f>
        <v>2.0284974651299147E-2</v>
      </c>
      <c r="R106" s="2">
        <v>0</v>
      </c>
      <c r="S106" s="26">
        <v>33853590</v>
      </c>
      <c r="T106" s="26">
        <v>1141994</v>
      </c>
      <c r="U106" s="26">
        <v>654273</v>
      </c>
      <c r="V106" s="26">
        <v>475214</v>
      </c>
      <c r="W106" s="26">
        <v>159186</v>
      </c>
      <c r="X106" s="26">
        <v>110789</v>
      </c>
      <c r="Y106" s="38">
        <v>63162.8</v>
      </c>
      <c r="Z106" s="26">
        <f t="shared" ref="Z106" si="1142">+Z105+Y106</f>
        <v>2374216.6899999995</v>
      </c>
      <c r="AA106" s="4">
        <f t="shared" ref="AA106" si="1143">+Z106/$D$4</f>
        <v>3.1656169566230408E-2</v>
      </c>
      <c r="AB106" s="2">
        <v>28868101.219999999</v>
      </c>
      <c r="AC106" s="4">
        <f t="shared" ref="AC106" si="1144">+AB106/AB$4</f>
        <v>0.42297584205128202</v>
      </c>
      <c r="AD106" s="25">
        <f t="shared" ref="AD106" si="1145">+$AD$2*AB106</f>
        <v>23792391.115384612</v>
      </c>
      <c r="AE106" s="2">
        <v>6000000</v>
      </c>
      <c r="AF106" s="8">
        <f t="shared" ref="AF106" si="1146">+AE106/$AE$4</f>
        <v>1</v>
      </c>
      <c r="AG106" s="2">
        <v>750000</v>
      </c>
      <c r="AH106" s="8">
        <f t="shared" ref="AH106" si="1147">+AG106/$AG$4</f>
        <v>1</v>
      </c>
      <c r="AI106" s="8">
        <f t="shared" ref="AI106" si="1148">+AB106/D106</f>
        <v>0.77568345192229204</v>
      </c>
      <c r="AJ106" s="2">
        <f>+AB106*0.01</f>
        <v>288681.0122</v>
      </c>
      <c r="AK106" s="4">
        <f t="shared" ref="AK106" si="1149">((+D106+AJ106)-AB106)/D106</f>
        <v>0.23207338259693086</v>
      </c>
      <c r="AL106" s="4">
        <f t="shared" ref="AL106" si="1150">+S106/$D106</f>
        <v>0.90964311615234061</v>
      </c>
      <c r="AM106" s="4">
        <f t="shared" ref="AM106" si="1151">+T106/$D106</f>
        <v>3.0685282736255627E-2</v>
      </c>
      <c r="AN106" s="4">
        <f t="shared" ref="AN106" si="1152">+U106/$D106</f>
        <v>1.75802604844668E-2</v>
      </c>
      <c r="AO106" s="4">
        <f t="shared" ref="AO106" si="1153">+V106/$D106</f>
        <v>1.2768960213649967E-2</v>
      </c>
      <c r="AP106" s="4">
        <f t="shared" ref="AP106" si="1154">+W106/$D106</f>
        <v>4.277314432171787E-3</v>
      </c>
      <c r="AQ106" s="4">
        <f t="shared" ref="AQ106" si="1155">+X106/$D106</f>
        <v>2.9768911124463215E-3</v>
      </c>
      <c r="AR106" s="4">
        <f t="shared" si="1052"/>
        <v>1.697179123895193E-3</v>
      </c>
    </row>
    <row r="107" spans="1:44" x14ac:dyDescent="0.25">
      <c r="A107">
        <f t="shared" si="26"/>
        <v>103</v>
      </c>
      <c r="B107" s="3">
        <f t="shared" si="90"/>
        <v>45000</v>
      </c>
      <c r="C107" s="41">
        <v>1805</v>
      </c>
      <c r="D107" s="2">
        <v>36915021.210000001</v>
      </c>
      <c r="E107" s="8">
        <f t="shared" si="1136"/>
        <v>0.49219945925186481</v>
      </c>
      <c r="F107" s="1">
        <v>83390.91</v>
      </c>
      <c r="G107" s="1"/>
      <c r="H107" s="1"/>
      <c r="I107" s="1"/>
      <c r="J107" s="1"/>
      <c r="K107" s="1"/>
      <c r="L107" s="1"/>
      <c r="M107" s="6">
        <f t="shared" ref="M107" si="1156">+F107/D106</f>
        <v>2.2407067383748485E-3</v>
      </c>
      <c r="N107" s="6">
        <f t="shared" ref="N107" si="1157">1-(+M107-1)^12</f>
        <v>2.6559572840204382E-2</v>
      </c>
      <c r="O107" s="6">
        <f t="shared" ref="O107" si="1158">AVERAGE(N105:N107)</f>
        <v>2.3444835128812753E-2</v>
      </c>
      <c r="P107" s="6">
        <f t="shared" ref="P107" si="1159">AVERAGE(N102:N107)</f>
        <v>1.8670979332891708E-2</v>
      </c>
      <c r="Q107" s="27">
        <f t="shared" ref="Q107" si="1160">AVERAGE(N96:N107)</f>
        <v>2.0226310026891247E-2</v>
      </c>
      <c r="R107" s="2">
        <v>0</v>
      </c>
      <c r="S107" s="26">
        <v>33468431</v>
      </c>
      <c r="T107" s="26">
        <v>1381184</v>
      </c>
      <c r="U107" s="26">
        <v>584991</v>
      </c>
      <c r="V107" s="26">
        <v>315907</v>
      </c>
      <c r="W107" s="26">
        <v>259216</v>
      </c>
      <c r="X107" s="26">
        <v>67070</v>
      </c>
      <c r="Y107" s="38">
        <v>0</v>
      </c>
      <c r="Z107" s="26">
        <f t="shared" ref="Z107" si="1161">+Z106+Y107</f>
        <v>2374216.6899999995</v>
      </c>
      <c r="AA107" s="4">
        <f t="shared" ref="AA107" si="1162">+Z107/$D$4</f>
        <v>3.1656169566230408E-2</v>
      </c>
      <c r="AB107" s="2">
        <v>28603992.59</v>
      </c>
      <c r="AC107" s="4">
        <f t="shared" ref="AC107" si="1163">+AB107/AB$4</f>
        <v>0.41910611853479851</v>
      </c>
      <c r="AD107" s="25">
        <f t="shared" ref="AD107" si="1164">+$AD$2*AB107</f>
        <v>23574719.167582415</v>
      </c>
      <c r="AE107" s="2">
        <v>6000000</v>
      </c>
      <c r="AF107" s="8">
        <f t="shared" ref="AF107" si="1165">+AE107/$AE$4</f>
        <v>1</v>
      </c>
      <c r="AG107" s="2">
        <v>750000</v>
      </c>
      <c r="AH107" s="8">
        <f t="shared" ref="AH107" si="1166">+AG107/$AG$4</f>
        <v>1</v>
      </c>
      <c r="AI107" s="8">
        <f t="shared" ref="AI107" si="1167">+AB107/D107</f>
        <v>0.77486052160932783</v>
      </c>
      <c r="AJ107" s="2">
        <f>+AB107*0.01</f>
        <v>286039.92590000003</v>
      </c>
      <c r="AK107" s="4">
        <f t="shared" ref="AK107" si="1168">((+D107+AJ107)-AB107)/D107</f>
        <v>0.23288808360676541</v>
      </c>
      <c r="AL107" s="4">
        <f t="shared" ref="AL107" si="1169">+S107/$D107</f>
        <v>0.90663447840397438</v>
      </c>
      <c r="AM107" s="4">
        <f t="shared" ref="AM107" si="1170">+T107/$D107</f>
        <v>3.741522975546463E-2</v>
      </c>
      <c r="AN107" s="4">
        <f t="shared" ref="AN107" si="1171">+U107/$D107</f>
        <v>1.5846963670212665E-2</v>
      </c>
      <c r="AO107" s="4">
        <f t="shared" ref="AO107" si="1172">+V107/$D107</f>
        <v>8.5576816603432741E-3</v>
      </c>
      <c r="AP107" s="4">
        <f t="shared" ref="AP107" si="1173">+W107/$D107</f>
        <v>7.0219653545744226E-3</v>
      </c>
      <c r="AQ107" s="4">
        <f t="shared" ref="AQ107" si="1174">+X107/$D107</f>
        <v>1.8168755645149471E-3</v>
      </c>
      <c r="AR107" s="4">
        <f t="shared" ref="AR107" si="1175">+Y107/$D107</f>
        <v>0</v>
      </c>
    </row>
    <row r="108" spans="1:44" x14ac:dyDescent="0.25">
      <c r="A108">
        <f t="shared" si="26"/>
        <v>104</v>
      </c>
      <c r="B108" s="3">
        <f t="shared" si="90"/>
        <v>45031</v>
      </c>
      <c r="C108" s="41">
        <v>1798</v>
      </c>
      <c r="D108" s="2">
        <v>36711628.009999998</v>
      </c>
      <c r="E108" s="8">
        <f t="shared" si="1136"/>
        <v>0.48948755445609055</v>
      </c>
      <c r="F108" s="1">
        <v>45129.05</v>
      </c>
      <c r="G108" s="1"/>
      <c r="H108" s="1"/>
      <c r="I108" s="1"/>
      <c r="J108" s="1"/>
      <c r="K108" s="1"/>
      <c r="L108" s="1"/>
      <c r="M108" s="6">
        <f t="shared" ref="M108" si="1176">+F108/D107</f>
        <v>1.2225118263720484E-3</v>
      </c>
      <c r="N108" s="6">
        <f t="shared" ref="N108" si="1177">1-(+M108-1)^12</f>
        <v>1.4571903451164547E-2</v>
      </c>
      <c r="O108" s="6">
        <f t="shared" ref="O108" si="1178">AVERAGE(N106:N108)</f>
        <v>2.5227795082738164E-2</v>
      </c>
      <c r="P108" s="6">
        <f t="shared" ref="P108" si="1179">AVERAGE(N103:N108)</f>
        <v>1.7817251679912476E-2</v>
      </c>
      <c r="Q108" s="27">
        <f t="shared" ref="Q108" si="1180">AVERAGE(N97:N108)</f>
        <v>2.0193630721021955E-2</v>
      </c>
      <c r="R108" s="2">
        <v>0</v>
      </c>
      <c r="S108" s="26">
        <v>33252770</v>
      </c>
      <c r="T108" s="26">
        <v>1428619</v>
      </c>
      <c r="U108" s="26">
        <v>701795</v>
      </c>
      <c r="V108" s="26">
        <v>223897</v>
      </c>
      <c r="W108" s="26">
        <v>145250</v>
      </c>
      <c r="X108" s="26">
        <v>162833</v>
      </c>
      <c r="Y108" s="38">
        <v>28469.53</v>
      </c>
      <c r="Z108" s="26">
        <f t="shared" ref="Z108" si="1181">+Z107+Y108</f>
        <v>2402686.2199999993</v>
      </c>
      <c r="AA108" s="4">
        <f t="shared" ref="AA108" si="1182">+Z108/$D$4</f>
        <v>3.203576266442857E-2</v>
      </c>
      <c r="AB108" s="2">
        <v>28430160.41</v>
      </c>
      <c r="AC108" s="4">
        <f t="shared" ref="AC108" si="1183">+AB108/AB$4</f>
        <v>0.41655912688644686</v>
      </c>
      <c r="AD108" s="25">
        <f t="shared" ref="AD108" si="1184">+$AD$2*AB108</f>
        <v>23431450.887362637</v>
      </c>
      <c r="AE108" s="2">
        <v>6000000</v>
      </c>
      <c r="AF108" s="8">
        <f t="shared" ref="AF108" si="1185">+AE108/$AE$4</f>
        <v>1</v>
      </c>
      <c r="AG108" s="2">
        <v>750000</v>
      </c>
      <c r="AH108" s="8">
        <f t="shared" ref="AH108" si="1186">+AG108/$AG$4</f>
        <v>1</v>
      </c>
      <c r="AI108" s="8">
        <f t="shared" ref="AI108" si="1187">+AB108/D108</f>
        <v>0.77441840504201609</v>
      </c>
      <c r="AJ108" s="2">
        <f>+AB108*0.01</f>
        <v>284301.6041</v>
      </c>
      <c r="AK108" s="4">
        <f t="shared" ref="AK108" si="1188">((+D108+AJ108)-AB108)/D108</f>
        <v>0.23332577900840401</v>
      </c>
      <c r="AL108" s="4">
        <f t="shared" ref="AL108" si="1189">+S108/$D108</f>
        <v>0.90578303939400817</v>
      </c>
      <c r="AM108" s="4">
        <f t="shared" ref="AM108" si="1190">+T108/$D108</f>
        <v>3.891461854023074E-2</v>
      </c>
      <c r="AN108" s="4">
        <f t="shared" ref="AN108" si="1191">+U108/$D108</f>
        <v>1.9116422726032086E-2</v>
      </c>
      <c r="AO108" s="4">
        <f t="shared" ref="AO108" si="1192">+V108/$D108</f>
        <v>6.0988033529597759E-3</v>
      </c>
      <c r="AP108" s="4">
        <f t="shared" ref="AP108" si="1193">+W108/$D108</f>
        <v>3.9565120882254223E-3</v>
      </c>
      <c r="AQ108" s="4">
        <f t="shared" ref="AQ108" si="1194">+X108/$D108</f>
        <v>4.4354611556764898E-3</v>
      </c>
      <c r="AR108" s="4">
        <f t="shared" ref="AR108" si="1195">+Y108/$D108</f>
        <v>7.7549080613491435E-4</v>
      </c>
    </row>
    <row r="109" spans="1:44" x14ac:dyDescent="0.25">
      <c r="A109">
        <f t="shared" si="26"/>
        <v>105</v>
      </c>
      <c r="B109" s="3">
        <f t="shared" si="90"/>
        <v>45061</v>
      </c>
      <c r="C109" s="41">
        <v>1790</v>
      </c>
      <c r="D109" s="2">
        <v>36510038.039999999</v>
      </c>
      <c r="E109" s="8">
        <f t="shared" si="1136"/>
        <v>0.48679969268675422</v>
      </c>
      <c r="F109" s="1">
        <v>31844.69</v>
      </c>
      <c r="G109" s="1"/>
      <c r="H109" s="1"/>
      <c r="I109" s="1"/>
      <c r="J109" s="1"/>
      <c r="K109" s="1"/>
      <c r="L109" s="1"/>
      <c r="M109" s="6">
        <f t="shared" ref="M109" si="1196">+F109/D108</f>
        <v>8.6742788936861428E-4</v>
      </c>
      <c r="N109" s="6">
        <f t="shared" ref="N109" si="1197">1-(+M109-1)^12</f>
        <v>1.0359617526658926E-2</v>
      </c>
      <c r="O109" s="6">
        <f t="shared" ref="O109" si="1198">AVERAGE(N107:N109)</f>
        <v>1.716369793934262E-2</v>
      </c>
      <c r="P109" s="6">
        <f t="shared" ref="P109" si="1199">AVERAGE(N104:N109)</f>
        <v>1.7726088523204286E-2</v>
      </c>
      <c r="Q109" s="27">
        <f t="shared" ref="Q109" si="1200">AVERAGE(N98:N109)</f>
        <v>1.9736262684832629E-2</v>
      </c>
      <c r="R109" s="2">
        <v>0</v>
      </c>
      <c r="S109" s="26">
        <v>33261173</v>
      </c>
      <c r="T109" s="26">
        <v>1047500</v>
      </c>
      <c r="U109" s="26">
        <v>861173</v>
      </c>
      <c r="V109" s="26">
        <v>376504</v>
      </c>
      <c r="W109" s="26">
        <v>120349</v>
      </c>
      <c r="X109" s="26">
        <v>78651</v>
      </c>
      <c r="Y109" s="38">
        <v>50620.9</v>
      </c>
      <c r="Z109" s="26">
        <f t="shared" ref="Z109" si="1201">+Z108+Y109</f>
        <v>2453307.1199999992</v>
      </c>
      <c r="AA109" s="4">
        <f t="shared" ref="AA109" si="1202">+Z109/$D$4</f>
        <v>3.2710706868445259E-2</v>
      </c>
      <c r="AB109" s="2">
        <v>28266163.690000001</v>
      </c>
      <c r="AC109" s="4">
        <f t="shared" ref="AC109" si="1203">+AB109/AB$4</f>
        <v>0.41415624454212457</v>
      </c>
      <c r="AD109" s="25">
        <f t="shared" ref="AD109" si="1204">+$AD$2*AB109</f>
        <v>23296288.755494505</v>
      </c>
      <c r="AE109" s="2">
        <v>6000000</v>
      </c>
      <c r="AF109" s="8">
        <f t="shared" ref="AF109" si="1205">+AE109/$AE$4</f>
        <v>1</v>
      </c>
      <c r="AG109" s="2">
        <v>750000</v>
      </c>
      <c r="AH109" s="8">
        <f t="shared" ref="AH109" si="1206">+AG109/$AG$4</f>
        <v>1</v>
      </c>
      <c r="AI109" s="8">
        <f t="shared" ref="AI109" si="1207">+AB109/D109</f>
        <v>0.7742025264129252</v>
      </c>
      <c r="AJ109" s="2">
        <v>282661.64</v>
      </c>
      <c r="AK109" s="4">
        <f t="shared" ref="AK109" si="1208">((+D109+AJ109)-AB109)/D109</f>
        <v>0.23353949893611228</v>
      </c>
      <c r="AL109" s="4">
        <f t="shared" ref="AL109" si="1209">+S109/$D109</f>
        <v>0.91101447124101653</v>
      </c>
      <c r="AM109" s="4">
        <f t="shared" ref="AM109" si="1210">+T109/$D109</f>
        <v>2.8690739759086814E-2</v>
      </c>
      <c r="AN109" s="4">
        <f t="shared" ref="AN109" si="1211">+U109/$D109</f>
        <v>2.3587293967114148E-2</v>
      </c>
      <c r="AO109" s="4">
        <f t="shared" ref="AO109" si="1212">+V109/$D109</f>
        <v>1.0312342035565844E-2</v>
      </c>
      <c r="AP109" s="4">
        <f t="shared" ref="AP109" si="1213">+W109/$D109</f>
        <v>3.2963263382017557E-3</v>
      </c>
      <c r="AQ109" s="4">
        <f t="shared" ref="AQ109" si="1214">+X109/$D109</f>
        <v>2.1542294728323979E-3</v>
      </c>
      <c r="AR109" s="4">
        <f t="shared" ref="AR109" si="1215">+Y109/$D109</f>
        <v>1.3864926666069287E-3</v>
      </c>
    </row>
    <row r="110" spans="1:44" x14ac:dyDescent="0.25">
      <c r="A110">
        <f t="shared" si="26"/>
        <v>106</v>
      </c>
      <c r="B110" s="3">
        <f t="shared" si="90"/>
        <v>45092</v>
      </c>
      <c r="C110" s="41">
        <v>1780</v>
      </c>
      <c r="D110" s="2">
        <v>36268498.990000002</v>
      </c>
      <c r="E110" s="8">
        <f t="shared" si="1136"/>
        <v>0.48357917740865375</v>
      </c>
      <c r="F110" s="1">
        <v>93185.67</v>
      </c>
      <c r="G110" s="1"/>
      <c r="H110" s="1"/>
      <c r="I110" s="1"/>
      <c r="J110" s="1"/>
      <c r="K110" s="1"/>
      <c r="L110" s="1"/>
      <c r="M110" s="6">
        <f t="shared" ref="M110" si="1216">+F110/D109</f>
        <v>2.5523301262493016E-3</v>
      </c>
      <c r="N110" s="6">
        <f t="shared" ref="N110" si="1217">1-(+M110-1)^12</f>
        <v>3.0201648826960414E-2</v>
      </c>
      <c r="O110" s="6">
        <f t="shared" ref="O110" si="1218">AVERAGE(N108:N110)</f>
        <v>1.8377723268261297E-2</v>
      </c>
      <c r="P110" s="6">
        <f t="shared" ref="P110" si="1219">AVERAGE(N105:N110)</f>
        <v>2.0911279198537025E-2</v>
      </c>
      <c r="Q110" s="27">
        <f t="shared" ref="Q110" si="1220">AVERAGE(N99:N110)</f>
        <v>2.0041171138630659E-2</v>
      </c>
      <c r="R110" s="2">
        <v>0</v>
      </c>
      <c r="S110" s="26">
        <v>33120803</v>
      </c>
      <c r="T110" s="26">
        <v>1145376</v>
      </c>
      <c r="U110" s="26">
        <v>596549</v>
      </c>
      <c r="V110" s="26">
        <v>304183</v>
      </c>
      <c r="W110" s="26">
        <v>329014</v>
      </c>
      <c r="X110" s="26">
        <v>53766</v>
      </c>
      <c r="Y110" s="38">
        <v>27781.38</v>
      </c>
      <c r="Z110" s="26">
        <f t="shared" ref="Z110" si="1221">+Z109+Y110</f>
        <v>2481088.4999999991</v>
      </c>
      <c r="AA110" s="4">
        <f t="shared" ref="AA110" si="1222">+Z110/$D$4</f>
        <v>3.3081124648662225E-2</v>
      </c>
      <c r="AB110" s="2">
        <v>28051951.940000001</v>
      </c>
      <c r="AC110" s="4">
        <f t="shared" ref="AC110" si="1223">+AB110/AB$4</f>
        <v>0.41101761084249089</v>
      </c>
      <c r="AD110" s="25">
        <f t="shared" ref="AD110" si="1224">+$AD$2*AB110</f>
        <v>23119740.609890111</v>
      </c>
      <c r="AE110" s="2">
        <v>6000000</v>
      </c>
      <c r="AF110" s="8">
        <f t="shared" ref="AF110" si="1225">+AE110/$AE$4</f>
        <v>1</v>
      </c>
      <c r="AG110" s="2">
        <v>750000</v>
      </c>
      <c r="AH110" s="8">
        <f t="shared" ref="AH110" si="1226">+AG110/$AG$4</f>
        <v>1</v>
      </c>
      <c r="AI110" s="8">
        <f t="shared" ref="AI110" si="1227">+AB110/D110</f>
        <v>0.77345224426669879</v>
      </c>
      <c r="AJ110" s="2">
        <v>280519.52</v>
      </c>
      <c r="AK110" s="4">
        <f t="shared" ref="AK110" si="1228">((+D110+AJ110)-AB110)/D110</f>
        <v>0.23428227819251154</v>
      </c>
      <c r="AL110" s="4">
        <f t="shared" ref="AL110" si="1229">+S110/$D110</f>
        <v>0.91321129692001068</v>
      </c>
      <c r="AM110" s="4">
        <f t="shared" ref="AM110" si="1230">+T110/$D110</f>
        <v>3.158046326416223E-2</v>
      </c>
      <c r="AN110" s="4">
        <f t="shared" ref="AN110" si="1231">+U110/$D110</f>
        <v>1.6448130377948126E-2</v>
      </c>
      <c r="AO110" s="4">
        <f t="shared" ref="AO110" si="1232">+V110/$D110</f>
        <v>8.3869751567019566E-3</v>
      </c>
      <c r="AP110" s="4">
        <f t="shared" ref="AP110" si="1233">+W110/$D110</f>
        <v>9.0716188748455277E-3</v>
      </c>
      <c r="AQ110" s="4">
        <f t="shared" ref="AQ110" si="1234">+X110/$D110</f>
        <v>1.4824434839397251E-3</v>
      </c>
      <c r="AR110" s="4">
        <f t="shared" ref="AR110" si="1235">+Y110/$D110</f>
        <v>7.6599199783977602E-4</v>
      </c>
    </row>
    <row r="111" spans="1:44" x14ac:dyDescent="0.25">
      <c r="A111">
        <f t="shared" si="26"/>
        <v>107</v>
      </c>
      <c r="B111" s="3">
        <f t="shared" si="90"/>
        <v>45122</v>
      </c>
      <c r="C111" s="41">
        <v>1774</v>
      </c>
      <c r="D111" s="2">
        <v>36060708.719999999</v>
      </c>
      <c r="E111" s="8">
        <f t="shared" si="1136"/>
        <v>0.48080864511097504</v>
      </c>
      <c r="F111" s="1">
        <v>67176.88</v>
      </c>
      <c r="G111" s="1"/>
      <c r="H111" s="1"/>
      <c r="I111" s="1"/>
      <c r="J111" s="1"/>
      <c r="K111" s="1"/>
      <c r="L111" s="1"/>
      <c r="M111" s="6">
        <f t="shared" ref="M111" si="1236">+F111/D110</f>
        <v>1.8522100961090807E-3</v>
      </c>
      <c r="N111" s="6">
        <f t="shared" ref="N111" si="1237">1-(+M111-1)^12</f>
        <v>2.2001488272487268E-2</v>
      </c>
      <c r="O111" s="6">
        <f t="shared" ref="O111" si="1238">AVERAGE(N109:N111)</f>
        <v>2.0854251542035535E-2</v>
      </c>
      <c r="P111" s="6">
        <f t="shared" ref="P111" si="1239">AVERAGE(N106:N111)</f>
        <v>2.304102331238685E-2</v>
      </c>
      <c r="Q111" s="27">
        <f t="shared" ref="Q111" si="1240">AVERAGE(N100:N111)</f>
        <v>2.0110039915411798E-2</v>
      </c>
      <c r="R111" s="2">
        <v>0</v>
      </c>
      <c r="S111" s="26">
        <v>32727854</v>
      </c>
      <c r="T111" s="26">
        <v>1191098</v>
      </c>
      <c r="U111" s="26">
        <v>696043</v>
      </c>
      <c r="V111" s="26">
        <v>392558</v>
      </c>
      <c r="W111" s="26">
        <v>211896</v>
      </c>
      <c r="X111" s="26">
        <v>114820</v>
      </c>
      <c r="Y111" s="38">
        <v>0</v>
      </c>
      <c r="Z111" s="26">
        <f t="shared" ref="Z111" si="1241">+Z110+Y111</f>
        <v>2481088.4999999991</v>
      </c>
      <c r="AA111" s="4">
        <f t="shared" ref="AA111" si="1242">+Z111/$D$4</f>
        <v>3.3081124648662225E-2</v>
      </c>
      <c r="AB111" s="2">
        <v>27878606.219999999</v>
      </c>
      <c r="AC111" s="4">
        <f t="shared" ref="AC111" si="1243">+AB111/AB$4</f>
        <v>0.40847774681318677</v>
      </c>
      <c r="AD111" s="25">
        <f t="shared" ref="AD111" si="1244">+$AD$2*AB111</f>
        <v>22976873.258241758</v>
      </c>
      <c r="AE111" s="2">
        <v>6000000</v>
      </c>
      <c r="AF111" s="8">
        <f t="shared" ref="AF111" si="1245">+AE111/$AE$4</f>
        <v>1</v>
      </c>
      <c r="AG111" s="2">
        <v>750000</v>
      </c>
      <c r="AH111" s="8">
        <f t="shared" ref="AH111" si="1246">+AG111/$AG$4</f>
        <v>1</v>
      </c>
      <c r="AI111" s="8">
        <f t="shared" ref="AI111" si="1247">+AB111/D111</f>
        <v>0.77310200518987471</v>
      </c>
      <c r="AJ111" s="2">
        <f t="shared" ref="AJ111:AJ116" si="1248">+AB111*0.01</f>
        <v>278786.06219999999</v>
      </c>
      <c r="AK111" s="4">
        <f t="shared" ref="AK111" si="1249">((+D111+AJ111)-AB111)/D111</f>
        <v>0.23462901486202412</v>
      </c>
      <c r="AL111" s="4">
        <f t="shared" ref="AL111" si="1250">+S111/$D111</f>
        <v>0.90757656079700033</v>
      </c>
      <c r="AM111" s="4">
        <f t="shared" ref="AM111" si="1251">+T111/$D111</f>
        <v>3.3030354706794572E-2</v>
      </c>
      <c r="AN111" s="4">
        <f t="shared" ref="AN111" si="1252">+U111/$D111</f>
        <v>1.9301977823135807E-2</v>
      </c>
      <c r="AO111" s="4">
        <f t="shared" ref="AO111" si="1253">+V111/$D111</f>
        <v>1.0886031193898289E-2</v>
      </c>
      <c r="AP111" s="4">
        <f t="shared" ref="AP111" si="1254">+W111/$D111</f>
        <v>5.8760908346340455E-3</v>
      </c>
      <c r="AQ111" s="4">
        <f t="shared" ref="AQ111" si="1255">+X111/$D111</f>
        <v>3.1840749690068768E-3</v>
      </c>
      <c r="AR111" s="4">
        <f t="shared" ref="AR111" si="1256">+Y111/$D111</f>
        <v>0</v>
      </c>
    </row>
    <row r="112" spans="1:44" x14ac:dyDescent="0.25">
      <c r="A112">
        <f t="shared" si="26"/>
        <v>108</v>
      </c>
      <c r="B112" s="3">
        <f t="shared" si="90"/>
        <v>45153</v>
      </c>
      <c r="C112" s="41">
        <v>1768</v>
      </c>
      <c r="D112" s="2">
        <v>35869929.710000001</v>
      </c>
      <c r="E112" s="8">
        <f t="shared" ref="E112" si="1257">+D112/D$4</f>
        <v>0.47826492923378711</v>
      </c>
      <c r="F112" s="1">
        <v>41838.65</v>
      </c>
      <c r="G112" s="1"/>
      <c r="H112" s="1"/>
      <c r="I112" s="1"/>
      <c r="J112" s="1"/>
      <c r="K112" s="1"/>
      <c r="L112" s="1"/>
      <c r="M112" s="6">
        <f t="shared" ref="M112" si="1258">+F112/D111</f>
        <v>1.1602281675843892E-3</v>
      </c>
      <c r="N112" s="6">
        <f t="shared" ref="N112" si="1259">1-(+M112-1)^12</f>
        <v>1.3834236175042314E-2</v>
      </c>
      <c r="O112" s="6">
        <f t="shared" ref="O112" si="1260">AVERAGE(N110:N112)</f>
        <v>2.2012457758163333E-2</v>
      </c>
      <c r="P112" s="6">
        <f t="shared" ref="P112" si="1261">AVERAGE(N107:N112)</f>
        <v>1.9588077848752977E-2</v>
      </c>
      <c r="Q112" s="27">
        <f t="shared" ref="Q112" si="1262">AVERAGE(N101:N112)</f>
        <v>1.7811247099418458E-2</v>
      </c>
      <c r="R112" s="2">
        <v>0</v>
      </c>
      <c r="S112" s="26">
        <v>32606260</v>
      </c>
      <c r="T112" s="26">
        <v>965887</v>
      </c>
      <c r="U112" s="26">
        <v>831790</v>
      </c>
      <c r="V112" s="26">
        <v>461367</v>
      </c>
      <c r="W112" s="26">
        <v>186919</v>
      </c>
      <c r="X112" s="26">
        <v>147442</v>
      </c>
      <c r="Y112" s="38">
        <v>73193.509999999995</v>
      </c>
      <c r="Z112" s="26">
        <f t="shared" ref="Z112" si="1263">+Z111+Y112</f>
        <v>2554282.0099999988</v>
      </c>
      <c r="AA112" s="4">
        <f t="shared" ref="AA112" si="1264">+Z112/$D$4</f>
        <v>3.405703648243321E-2</v>
      </c>
      <c r="AB112" s="2">
        <v>27775442.32</v>
      </c>
      <c r="AC112" s="4">
        <f t="shared" ref="AC112" si="1265">+AB112/AB$4</f>
        <v>0.40696618783882782</v>
      </c>
      <c r="AD112" s="25">
        <f t="shared" ref="AD112" si="1266">+$AD$2*AB112</f>
        <v>22891848.065934066</v>
      </c>
      <c r="AE112" s="2">
        <v>6000000</v>
      </c>
      <c r="AF112" s="8">
        <f t="shared" ref="AF112" si="1267">+AE112/$AE$4</f>
        <v>1</v>
      </c>
      <c r="AG112" s="2">
        <v>750000</v>
      </c>
      <c r="AH112" s="8">
        <f t="shared" ref="AH112" si="1268">+AG112/$AG$4</f>
        <v>1</v>
      </c>
      <c r="AI112" s="8">
        <f t="shared" ref="AI112" si="1269">+AB112/D112</f>
        <v>0.77433779615845255</v>
      </c>
      <c r="AJ112" s="2">
        <f t="shared" si="1248"/>
        <v>277754.42320000002</v>
      </c>
      <c r="AK112" s="4">
        <f t="shared" ref="AK112" si="1270">((+D112+AJ112)-AB112)/D112</f>
        <v>0.23340558180313192</v>
      </c>
      <c r="AL112" s="4">
        <f t="shared" ref="AL112" si="1271">+S112/$D112</f>
        <v>0.90901376901527242</v>
      </c>
      <c r="AM112" s="4">
        <f t="shared" ref="AM112" si="1272">+T112/$D112</f>
        <v>2.6927485161219178E-2</v>
      </c>
      <c r="AN112" s="4">
        <f t="shared" ref="AN112" si="1273">+U112/$D112</f>
        <v>2.3189061331450263E-2</v>
      </c>
      <c r="AO112" s="4">
        <f t="shared" ref="AO112" si="1274">+V112/$D112</f>
        <v>1.2862222026361479E-2</v>
      </c>
      <c r="AP112" s="4">
        <f t="shared" ref="AP112" si="1275">+W112/$D112</f>
        <v>5.211022199128809E-3</v>
      </c>
      <c r="AQ112" s="4">
        <f t="shared" ref="AQ112" si="1276">+X112/$D112</f>
        <v>4.110462473498948E-3</v>
      </c>
      <c r="AR112" s="4">
        <f t="shared" ref="AR112" si="1277">+Y112/$D112</f>
        <v>2.0405256043642241E-3</v>
      </c>
    </row>
    <row r="113" spans="1:44" x14ac:dyDescent="0.25">
      <c r="A113">
        <f t="shared" si="26"/>
        <v>109</v>
      </c>
      <c r="B113" s="3">
        <f t="shared" si="90"/>
        <v>45184</v>
      </c>
      <c r="C113" s="41">
        <v>1762</v>
      </c>
      <c r="D113" s="2">
        <v>35594917.200000003</v>
      </c>
      <c r="E113" s="8">
        <f t="shared" ref="E113" si="1278">+D113/D$4</f>
        <v>0.47459810190245599</v>
      </c>
      <c r="F113" s="1">
        <v>121215.03999999999</v>
      </c>
      <c r="G113" s="1"/>
      <c r="H113" s="1"/>
      <c r="I113" s="1"/>
      <c r="J113" s="1"/>
      <c r="K113" s="1"/>
      <c r="L113" s="1"/>
      <c r="M113" s="6">
        <f t="shared" ref="M113" si="1279">+F113/D112</f>
        <v>3.3792940488034202E-3</v>
      </c>
      <c r="N113" s="6">
        <f t="shared" ref="N113" si="1280">1-(+M113-1)^12</f>
        <v>3.9806258777677961E-2</v>
      </c>
      <c r="O113" s="6">
        <f t="shared" ref="O113" si="1281">AVERAGE(N111:N113)</f>
        <v>2.5213994408402513E-2</v>
      </c>
      <c r="P113" s="6">
        <f t="shared" ref="P113" si="1282">AVERAGE(N108:N113)</f>
        <v>2.1795858838331905E-2</v>
      </c>
      <c r="Q113" s="27">
        <f t="shared" ref="Q113" si="1283">AVERAGE(N102:N113)</f>
        <v>2.0233419085611808E-2</v>
      </c>
      <c r="R113" s="2">
        <v>0</v>
      </c>
      <c r="S113" s="26">
        <v>32294924</v>
      </c>
      <c r="T113" s="26">
        <v>1084417</v>
      </c>
      <c r="U113" s="26">
        <v>646683</v>
      </c>
      <c r="V113" s="26">
        <v>525590</v>
      </c>
      <c r="W113" s="26">
        <v>157352</v>
      </c>
      <c r="X113" s="26">
        <v>182717</v>
      </c>
      <c r="Y113" s="38">
        <v>32466.12</v>
      </c>
      <c r="Z113" s="26">
        <f t="shared" ref="Z113" si="1284">+Z112+Y113</f>
        <v>2586748.129999999</v>
      </c>
      <c r="AA113" s="4">
        <f t="shared" ref="AA113" si="1285">+Z113/$D$4</f>
        <v>3.4489917358136932E-2</v>
      </c>
      <c r="AB113" s="2">
        <v>27534260.5</v>
      </c>
      <c r="AC113" s="4">
        <f t="shared" ref="AC113" si="1286">+AB113/AB$4</f>
        <v>0.40343238827838829</v>
      </c>
      <c r="AD113" s="25">
        <f t="shared" ref="AD113" si="1287">+$AD$2*AB113</f>
        <v>22693071.840659339</v>
      </c>
      <c r="AE113" s="2">
        <v>6000000</v>
      </c>
      <c r="AF113" s="8">
        <f t="shared" ref="AF113" si="1288">+AE113/$AE$4</f>
        <v>1</v>
      </c>
      <c r="AG113" s="2">
        <v>750000</v>
      </c>
      <c r="AH113" s="8">
        <f t="shared" ref="AH113" si="1289">+AG113/$AG$4</f>
        <v>1</v>
      </c>
      <c r="AI113" s="8">
        <f t="shared" ref="AI113" si="1290">+AB113/D113</f>
        <v>0.77354472677351804</v>
      </c>
      <c r="AJ113" s="2">
        <f t="shared" si="1248"/>
        <v>275342.60499999998</v>
      </c>
      <c r="AK113" s="4">
        <f t="shared" ref="AK113" si="1291">((+D113+AJ113)-AB113)/D113</f>
        <v>0.23419072049421705</v>
      </c>
      <c r="AL113" s="4">
        <f t="shared" ref="AL113" si="1292">+S113/$D113</f>
        <v>0.90729032514788366</v>
      </c>
      <c r="AM113" s="4">
        <f t="shared" ref="AM113" si="1293">+T113/$D113</f>
        <v>3.0465501405914211E-2</v>
      </c>
      <c r="AN113" s="4">
        <f t="shared" ref="AN113" si="1294">+U113/$D113</f>
        <v>1.8167846728408737E-2</v>
      </c>
      <c r="AO113" s="4">
        <f t="shared" ref="AO113" si="1295">+V113/$D113</f>
        <v>1.476587224650153E-2</v>
      </c>
      <c r="AP113" s="4">
        <f t="shared" ref="AP113" si="1296">+W113/$D113</f>
        <v>4.4206311568551699E-3</v>
      </c>
      <c r="AQ113" s="4">
        <f t="shared" ref="AQ113" si="1297">+X113/$D113</f>
        <v>5.1332328987690407E-3</v>
      </c>
      <c r="AR113" s="4">
        <f t="shared" ref="AR113" si="1298">+Y113/$D113</f>
        <v>9.1209988823909933E-4</v>
      </c>
    </row>
    <row r="114" spans="1:44" x14ac:dyDescent="0.25">
      <c r="A114">
        <f t="shared" si="26"/>
        <v>110</v>
      </c>
      <c r="B114" s="3">
        <f t="shared" si="90"/>
        <v>45214</v>
      </c>
      <c r="C114" s="41">
        <v>1754</v>
      </c>
      <c r="D114" s="2">
        <v>35322512.299999997</v>
      </c>
      <c r="E114" s="8">
        <f t="shared" ref="E114" si="1299">+D114/D$4</f>
        <v>0.47096604264628411</v>
      </c>
      <c r="F114" s="1">
        <v>45524.160000000003</v>
      </c>
      <c r="G114" s="1"/>
      <c r="H114" s="1"/>
      <c r="I114" s="1"/>
      <c r="J114" s="1"/>
      <c r="K114" s="1"/>
      <c r="L114" s="1"/>
      <c r="M114" s="6">
        <f t="shared" ref="M114" si="1300">+F114/D113</f>
        <v>1.2789511419343882E-3</v>
      </c>
      <c r="N114" s="6">
        <f t="shared" ref="N114" si="1301">1-(+M114-1)^12</f>
        <v>1.5239915364158696E-2</v>
      </c>
      <c r="O114" s="6">
        <f t="shared" ref="O114" si="1302">AVERAGE(N112:N114)</f>
        <v>2.2960136772292989E-2</v>
      </c>
      <c r="P114" s="6">
        <f t="shared" ref="P114" si="1303">AVERAGE(N109:N114)</f>
        <v>2.1907194157164262E-2</v>
      </c>
      <c r="Q114" s="27">
        <f t="shared" ref="Q114" si="1304">AVERAGE(N103:N114)</f>
        <v>1.9862222918538369E-2</v>
      </c>
      <c r="R114" s="2">
        <v>0</v>
      </c>
      <c r="S114" s="26">
        <v>32012039</v>
      </c>
      <c r="T114" s="26">
        <v>1209327</v>
      </c>
      <c r="U114" s="26">
        <v>557971</v>
      </c>
      <c r="V114" s="26">
        <v>397994</v>
      </c>
      <c r="W114" s="26">
        <v>270988</v>
      </c>
      <c r="X114" s="26">
        <v>121928</v>
      </c>
      <c r="Y114" s="38">
        <v>16094.92</v>
      </c>
      <c r="Z114" s="26">
        <f t="shared" ref="Z114" si="1305">+Z113+Y114</f>
        <v>2602843.0499999989</v>
      </c>
      <c r="AA114" s="4">
        <f t="shared" ref="AA114" si="1306">+Z114/$D$4</f>
        <v>3.470451593240393E-2</v>
      </c>
      <c r="AB114" s="2">
        <v>27299862.399999999</v>
      </c>
      <c r="AC114" s="4">
        <f t="shared" ref="AC114" si="1307">+AB114/AB$4</f>
        <v>0.39999798388278385</v>
      </c>
      <c r="AD114" s="25">
        <f t="shared" ref="AD114" si="1308">+$AD$2*AB114</f>
        <v>22499886.593406592</v>
      </c>
      <c r="AE114" s="2">
        <v>6000000</v>
      </c>
      <c r="AF114" s="8">
        <f t="shared" ref="AF114" si="1309">+AE114/$AE$4</f>
        <v>1</v>
      </c>
      <c r="AG114" s="2">
        <v>750000</v>
      </c>
      <c r="AH114" s="8">
        <f t="shared" ref="AH114" si="1310">+AG114/$AG$4</f>
        <v>1</v>
      </c>
      <c r="AI114" s="8">
        <f t="shared" ref="AI114" si="1311">+AB114/D114</f>
        <v>0.77287431222721947</v>
      </c>
      <c r="AJ114" s="2">
        <f t="shared" si="1248"/>
        <v>272998.62400000001</v>
      </c>
      <c r="AK114" s="4">
        <f t="shared" ref="AK114" si="1312">((+D114+AJ114)-AB114)/D114</f>
        <v>0.23485443089505265</v>
      </c>
      <c r="AL114" s="4">
        <f t="shared" ref="AL114" si="1313">+S114/$D114</f>
        <v>0.9062786567420914</v>
      </c>
      <c r="AM114" s="4">
        <f t="shared" ref="AM114" si="1314">+T114/$D114</f>
        <v>3.4236721038667456E-2</v>
      </c>
      <c r="AN114" s="4">
        <f t="shared" ref="AN114" si="1315">+U114/$D114</f>
        <v>1.5796469833772274E-2</v>
      </c>
      <c r="AO114" s="4">
        <f t="shared" ref="AO114" si="1316">+V114/$D114</f>
        <v>1.1267431846856489E-2</v>
      </c>
      <c r="AP114" s="4">
        <f t="shared" ref="AP114" si="1317">+W114/$D114</f>
        <v>7.6718212367923788E-3</v>
      </c>
      <c r="AQ114" s="4">
        <f t="shared" ref="AQ114" si="1318">+X114/$D114</f>
        <v>3.4518496013093611E-3</v>
      </c>
      <c r="AR114" s="4">
        <f t="shared" ref="AR114" si="1319">+Y114/$D114</f>
        <v>4.5565615104902949E-4</v>
      </c>
    </row>
    <row r="115" spans="1:44" x14ac:dyDescent="0.25">
      <c r="A115">
        <f t="shared" si="26"/>
        <v>111</v>
      </c>
      <c r="B115" s="3">
        <f t="shared" si="90"/>
        <v>45245</v>
      </c>
      <c r="C115" s="41">
        <v>1746</v>
      </c>
      <c r="D115" s="2">
        <v>35099043.670000002</v>
      </c>
      <c r="E115" s="8">
        <f t="shared" ref="E115" si="1320">+D115/D$4</f>
        <v>0.46798646589837867</v>
      </c>
      <c r="F115" s="1">
        <v>76446.53</v>
      </c>
      <c r="G115" s="1"/>
      <c r="H115" s="1"/>
      <c r="I115" s="1"/>
      <c r="J115" s="1"/>
      <c r="K115" s="1"/>
      <c r="L115" s="1"/>
      <c r="M115" s="6">
        <f t="shared" ref="M115" si="1321">+F115/D114</f>
        <v>2.1642438496652459E-3</v>
      </c>
      <c r="N115" s="6">
        <f t="shared" ref="N115" si="1322">1-(+M115-1)^12</f>
        <v>2.5664004765278969E-2</v>
      </c>
      <c r="O115" s="6">
        <f t="shared" ref="O115" si="1323">AVERAGE(N113:N115)</f>
        <v>2.6903392969038542E-2</v>
      </c>
      <c r="P115" s="6">
        <f t="shared" ref="P115" si="1324">AVERAGE(N110:N115)</f>
        <v>2.4457925363600936E-2</v>
      </c>
      <c r="Q115" s="27">
        <f t="shared" ref="Q115" si="1325">AVERAGE(N104:N115)</f>
        <v>2.1092006943402613E-2</v>
      </c>
      <c r="R115" s="2">
        <v>0</v>
      </c>
      <c r="S115" s="26">
        <v>31316650</v>
      </c>
      <c r="T115" s="26">
        <v>1314497</v>
      </c>
      <c r="U115" s="26">
        <v>867714</v>
      </c>
      <c r="V115" s="26">
        <v>494164</v>
      </c>
      <c r="W115" s="26">
        <v>196330</v>
      </c>
      <c r="X115" s="26">
        <v>154954</v>
      </c>
      <c r="Y115" s="38">
        <v>19791.39</v>
      </c>
      <c r="Z115" s="26">
        <f t="shared" ref="Z115" si="1326">+Z114+Y115</f>
        <v>2622634.439999999</v>
      </c>
      <c r="AA115" s="4">
        <f t="shared" ref="AA115" si="1327">+Z115/$D$4</f>
        <v>3.4968400690871954E-2</v>
      </c>
      <c r="AB115" s="2">
        <v>27111467.699999999</v>
      </c>
      <c r="AC115" s="4">
        <f t="shared" ref="AC115" si="1328">+AB115/AB$4</f>
        <v>0.39723762197802198</v>
      </c>
      <c r="AD115" s="25">
        <f t="shared" ref="AD115" si="1329">+$AD$2*AB115</f>
        <v>22344616.236263733</v>
      </c>
      <c r="AE115" s="2">
        <v>6000000</v>
      </c>
      <c r="AF115" s="8">
        <f t="shared" ref="AF115" si="1330">+AE115/$AE$4</f>
        <v>1</v>
      </c>
      <c r="AG115" s="2">
        <v>750000</v>
      </c>
      <c r="AH115" s="8">
        <f t="shared" ref="AH115" si="1331">+AG115/$AG$4</f>
        <v>1</v>
      </c>
      <c r="AI115" s="8">
        <f t="shared" ref="AI115" si="1332">+AB115/D115</f>
        <v>0.77242753263881159</v>
      </c>
      <c r="AJ115" s="2">
        <f t="shared" si="1248"/>
        <v>271114.67700000003</v>
      </c>
      <c r="AK115" s="4">
        <f t="shared" ref="AK115" si="1333">((+D115+AJ115)-AB115)/D115</f>
        <v>0.23529674268757658</v>
      </c>
      <c r="AL115" s="4">
        <f t="shared" ref="AL115" si="1334">+S115/$D115</f>
        <v>0.89223656047264599</v>
      </c>
      <c r="AM115" s="4">
        <f t="shared" ref="AM115" si="1335">+T115/$D115</f>
        <v>3.7451077367202809E-2</v>
      </c>
      <c r="AN115" s="4">
        <f t="shared" ref="AN115" si="1336">+U115/$D115</f>
        <v>2.4721870150030783E-2</v>
      </c>
      <c r="AO115" s="4">
        <f t="shared" ref="AO115" si="1337">+V115/$D115</f>
        <v>1.4079130036878294E-2</v>
      </c>
      <c r="AP115" s="4">
        <f t="shared" ref="AP115" si="1338">+W115/$D115</f>
        <v>5.5935996959315445E-3</v>
      </c>
      <c r="AQ115" s="4">
        <f t="shared" ref="AQ115" si="1339">+X115/$D115</f>
        <v>4.4147641587295701E-3</v>
      </c>
      <c r="AR115" s="4">
        <f t="shared" ref="AR115" si="1340">+Y115/$D115</f>
        <v>5.6387262815699385E-4</v>
      </c>
    </row>
    <row r="116" spans="1:44" x14ac:dyDescent="0.25">
      <c r="A116">
        <f t="shared" si="26"/>
        <v>112</v>
      </c>
      <c r="B116" s="3">
        <f t="shared" si="90"/>
        <v>45275</v>
      </c>
      <c r="C116" s="41">
        <v>1735</v>
      </c>
      <c r="D116" s="2">
        <v>34795385.350000001</v>
      </c>
      <c r="E116" s="8">
        <f t="shared" ref="E116" si="1341">+D116/D$4</f>
        <v>0.46393769507278199</v>
      </c>
      <c r="F116" s="1">
        <v>130535.67999999999</v>
      </c>
      <c r="G116" s="1"/>
      <c r="H116" s="1"/>
      <c r="I116" s="1"/>
      <c r="J116" s="1"/>
      <c r="K116" s="1"/>
      <c r="L116" s="1"/>
      <c r="M116" s="6">
        <f t="shared" ref="M116" si="1342">+F116/D115</f>
        <v>3.7190665713656462E-3</v>
      </c>
      <c r="N116" s="6">
        <f t="shared" ref="N116" si="1343">1-(+M116-1)^12</f>
        <v>4.3727145436073589E-2</v>
      </c>
      <c r="O116" s="6">
        <f t="shared" ref="O116" si="1344">AVERAGE(N114:N116)</f>
        <v>2.821035518850375E-2</v>
      </c>
      <c r="P116" s="6">
        <f t="shared" ref="P116" si="1345">AVERAGE(N111:N116)</f>
        <v>2.6712174798453132E-2</v>
      </c>
      <c r="Q116" s="27">
        <f t="shared" ref="Q116" si="1346">AVERAGE(N105:N116)</f>
        <v>2.381172699849508E-2</v>
      </c>
      <c r="R116" s="2">
        <v>0</v>
      </c>
      <c r="S116" s="26">
        <v>31155090</v>
      </c>
      <c r="T116" s="26">
        <v>1020349</v>
      </c>
      <c r="U116" s="26">
        <v>925577</v>
      </c>
      <c r="V116" s="26">
        <v>536660</v>
      </c>
      <c r="W116" s="26">
        <v>225394</v>
      </c>
      <c r="X116" s="26">
        <v>125799</v>
      </c>
      <c r="Y116" s="38">
        <v>26058.01</v>
      </c>
      <c r="Z116" s="26">
        <f t="shared" ref="Z116" si="1347">+Z115+Y116</f>
        <v>2648692.4499999988</v>
      </c>
      <c r="AA116" s="4">
        <f t="shared" ref="AA116" si="1348">+Z116/$D$4</f>
        <v>3.5315840242869427E-2</v>
      </c>
      <c r="AB116" s="2">
        <v>26847818.399999999</v>
      </c>
      <c r="AC116" s="4">
        <f t="shared" ref="AC116" si="1349">+AB116/AB$4</f>
        <v>0.39337462857142858</v>
      </c>
      <c r="AD116" s="25">
        <f t="shared" ref="AD116" si="1350">+$AD$2*AB116</f>
        <v>22127322.857142854</v>
      </c>
      <c r="AE116" s="2">
        <v>6000000</v>
      </c>
      <c r="AF116" s="8">
        <f t="shared" ref="AF116" si="1351">+AE116/$AE$4</f>
        <v>1</v>
      </c>
      <c r="AG116" s="2">
        <v>750000</v>
      </c>
      <c r="AH116" s="8">
        <f t="shared" ref="AH116" si="1352">+AG116/$AG$4</f>
        <v>1</v>
      </c>
      <c r="AI116" s="8">
        <f t="shared" ref="AI116" si="1353">+AB116/D116</f>
        <v>0.77159135126520439</v>
      </c>
      <c r="AJ116" s="2">
        <f t="shared" si="1248"/>
        <v>268478.18400000001</v>
      </c>
      <c r="AK116" s="4">
        <f t="shared" ref="AK116" si="1354">((+D116+AJ116)-AB116)/D116</f>
        <v>0.23612456224744766</v>
      </c>
      <c r="AL116" s="4">
        <f t="shared" ref="AL116" si="1355">+S116/$D116</f>
        <v>0.89537993865039922</v>
      </c>
      <c r="AM116" s="4">
        <f t="shared" ref="AM116" si="1356">+T116/$D116</f>
        <v>2.9324262103624037E-2</v>
      </c>
      <c r="AN116" s="4">
        <f t="shared" ref="AN116" si="1357">+U116/$D116</f>
        <v>2.6600567595093466E-2</v>
      </c>
      <c r="AO116" s="4">
        <f t="shared" ref="AO116" si="1358">+V116/$D116</f>
        <v>1.5423309574009359E-2</v>
      </c>
      <c r="AP116" s="4">
        <f t="shared" ref="AP116" si="1359">+W116/$D116</f>
        <v>6.4776980548657721E-3</v>
      </c>
      <c r="AQ116" s="4">
        <f t="shared" ref="AQ116" si="1360">+X116/$D116</f>
        <v>3.6153932119047504E-3</v>
      </c>
      <c r="AR116" s="4">
        <f t="shared" ref="AR116" si="1361">+Y116/$D116</f>
        <v>7.4889269763468789E-4</v>
      </c>
    </row>
    <row r="117" spans="1:44" x14ac:dyDescent="0.25">
      <c r="A117">
        <f t="shared" si="26"/>
        <v>113</v>
      </c>
      <c r="B117" s="3">
        <f t="shared" si="90"/>
        <v>45306</v>
      </c>
      <c r="C117" s="41">
        <v>1726</v>
      </c>
      <c r="D117" s="2">
        <v>34605279.950000003</v>
      </c>
      <c r="E117" s="8">
        <f t="shared" ref="E117" si="1362">+D117/D$4</f>
        <v>0.46140296064723296</v>
      </c>
      <c r="F117" s="1">
        <v>34909.89</v>
      </c>
      <c r="G117" s="1"/>
      <c r="H117" s="1"/>
      <c r="I117" s="1"/>
      <c r="J117" s="1"/>
      <c r="K117" s="1"/>
      <c r="L117" s="1"/>
      <c r="M117" s="6">
        <f t="shared" ref="M117" si="1363">+F117/D116</f>
        <v>1.0032907998818871E-3</v>
      </c>
      <c r="N117" s="6">
        <f t="shared" ref="N117" si="1364">1-(+M117-1)^12</f>
        <v>1.1973276176600156E-2</v>
      </c>
      <c r="O117" s="6">
        <f t="shared" ref="O117" si="1365">AVERAGE(N115:N117)</f>
        <v>2.7121475459317573E-2</v>
      </c>
      <c r="P117" s="6">
        <f t="shared" ref="P117" si="1366">AVERAGE(N112:N117)</f>
        <v>2.5040806115805281E-2</v>
      </c>
      <c r="Q117" s="27">
        <f t="shared" ref="Q117" si="1367">AVERAGE(N106:N117)</f>
        <v>2.4040914714096067E-2</v>
      </c>
      <c r="R117" s="2">
        <v>2516946.23</v>
      </c>
      <c r="S117" s="26">
        <v>30905058</v>
      </c>
      <c r="T117" s="26">
        <v>1138775</v>
      </c>
      <c r="U117" s="26">
        <v>714129</v>
      </c>
      <c r="V117" s="26">
        <v>573342</v>
      </c>
      <c r="W117" s="26">
        <v>339789</v>
      </c>
      <c r="X117" s="26">
        <v>132031</v>
      </c>
      <c r="Y117" s="38">
        <v>18782.28</v>
      </c>
      <c r="Z117" s="26">
        <f t="shared" ref="Z117" si="1368">+Z116+Y117</f>
        <v>2667474.7299999986</v>
      </c>
      <c r="AA117" s="4">
        <f t="shared" ref="AA117" si="1369">+Z117/$D$4</f>
        <v>3.5566270223849977E-2</v>
      </c>
      <c r="AB117" s="2">
        <v>25245451.460000001</v>
      </c>
      <c r="AC117" s="4">
        <f t="shared" ref="AC117" si="1370">+AB117/AB$4</f>
        <v>0.36989672468864471</v>
      </c>
      <c r="AD117" s="25">
        <f t="shared" ref="AD117" si="1371">+$AD$2*AB117</f>
        <v>20806690.763736263</v>
      </c>
      <c r="AE117" s="2">
        <v>6000000</v>
      </c>
      <c r="AF117" s="8">
        <f t="shared" ref="AF117" si="1372">+AE117/$AE$4</f>
        <v>1</v>
      </c>
      <c r="AG117" s="2">
        <v>750000</v>
      </c>
      <c r="AH117" s="8">
        <f t="shared" ref="AH117" si="1373">+AG117/$AG$4</f>
        <v>1</v>
      </c>
      <c r="AI117" s="8">
        <f t="shared" ref="AI117" si="1374">+AB117/D117</f>
        <v>0.72952599997677514</v>
      </c>
      <c r="AJ117" s="2">
        <f t="shared" ref="AJ117" si="1375">+AB117*0.01</f>
        <v>252454.51460000002</v>
      </c>
      <c r="AK117" s="4">
        <f t="shared" ref="AK117" si="1376">((+D117+AJ117)-AB117)/D117</f>
        <v>0.27776926002299263</v>
      </c>
      <c r="AL117" s="4">
        <f t="shared" ref="AL117" si="1377">+S117/$D117</f>
        <v>0.89307348603027259</v>
      </c>
      <c r="AM117" s="4">
        <f t="shared" ref="AM117" si="1378">+T117/$D117</f>
        <v>3.2907550571628877E-2</v>
      </c>
      <c r="AN117" s="4">
        <f t="shared" ref="AN117" si="1379">+U117/$D117</f>
        <v>2.0636417362663178E-2</v>
      </c>
      <c r="AO117" s="4">
        <f t="shared" ref="AO117" si="1380">+V117/$D117</f>
        <v>1.6568049755077908E-2</v>
      </c>
      <c r="AP117" s="4">
        <f t="shared" ref="AP117" si="1381">+W117/$D117</f>
        <v>9.8189929539928486E-3</v>
      </c>
      <c r="AQ117" s="4">
        <f t="shared" ref="AQ117" si="1382">+X117/$D117</f>
        <v>3.8153426353078812E-3</v>
      </c>
      <c r="AR117" s="4">
        <f t="shared" ref="AR117" si="1383">+Y117/$D117</f>
        <v>5.4275763776908835E-4</v>
      </c>
    </row>
    <row r="118" spans="1:44" x14ac:dyDescent="0.25">
      <c r="A118">
        <f t="shared" si="26"/>
        <v>114</v>
      </c>
      <c r="B118" s="3">
        <f t="shared" si="90"/>
        <v>45337</v>
      </c>
      <c r="C118" s="41">
        <v>1721</v>
      </c>
      <c r="D118" s="2">
        <v>34395920.689999998</v>
      </c>
      <c r="E118" s="8">
        <f t="shared" ref="E118" si="1384">+D118/D$4</f>
        <v>0.45861150851789062</v>
      </c>
      <c r="F118" s="1">
        <v>42730.03</v>
      </c>
      <c r="G118" s="1"/>
      <c r="H118" s="1"/>
      <c r="I118" s="1"/>
      <c r="J118" s="1"/>
      <c r="K118" s="1"/>
      <c r="L118" s="1"/>
      <c r="M118" s="6">
        <f t="shared" ref="M118" si="1385">+F118/D117</f>
        <v>1.2347835377069388E-3</v>
      </c>
      <c r="N118" s="6">
        <f t="shared" ref="N118" si="1386">1-(+M118-1)^12</f>
        <v>1.471718592439597E-2</v>
      </c>
      <c r="O118" s="6">
        <f t="shared" ref="O118" si="1387">AVERAGE(N116:N118)</f>
        <v>2.3472535845689906E-2</v>
      </c>
      <c r="P118" s="6">
        <f t="shared" ref="P118" si="1388">AVERAGE(N113:N118)</f>
        <v>2.5187964407364222E-2</v>
      </c>
      <c r="Q118" s="27">
        <f t="shared" ref="Q118" si="1389">AVERAGE(N107:N118)</f>
        <v>2.2388021128058599E-2</v>
      </c>
      <c r="R118" s="2">
        <v>0</v>
      </c>
      <c r="S118" s="26">
        <v>30677367</v>
      </c>
      <c r="T118" s="26">
        <v>1193414</v>
      </c>
      <c r="U118" s="26">
        <v>815121</v>
      </c>
      <c r="V118" s="26">
        <v>423884</v>
      </c>
      <c r="W118" s="26">
        <v>284680</v>
      </c>
      <c r="X118" s="26">
        <v>180050</v>
      </c>
      <c r="Y118" s="38">
        <v>82382.880000000005</v>
      </c>
      <c r="Z118" s="26">
        <f t="shared" ref="Z118" si="1390">+Z117+Y118</f>
        <v>2749857.6099999985</v>
      </c>
      <c r="AA118" s="4">
        <f t="shared" ref="AA118" si="1391">+Z118/$D$4</f>
        <v>3.6664706785945925E-2</v>
      </c>
      <c r="AB118" s="2">
        <v>25063855.489999998</v>
      </c>
      <c r="AC118" s="4">
        <f t="shared" ref="AC118" si="1392">+AB118/AB$4</f>
        <v>0.36723597787545786</v>
      </c>
      <c r="AD118" s="25">
        <f t="shared" ref="AD118" si="1393">+$AD$2*AB118</f>
        <v>20657023.755494501</v>
      </c>
      <c r="AE118" s="2">
        <v>6000000</v>
      </c>
      <c r="AF118" s="8">
        <f t="shared" ref="AF118" si="1394">+AE118/$AE$4</f>
        <v>1</v>
      </c>
      <c r="AG118" s="2">
        <v>750000</v>
      </c>
      <c r="AH118" s="8">
        <f t="shared" ref="AH118" si="1395">+AG118/$AG$4</f>
        <v>1</v>
      </c>
      <c r="AI118" s="8">
        <f t="shared" ref="AI118" si="1396">+AB118/D118</f>
        <v>0.72868686132558935</v>
      </c>
      <c r="AJ118" s="2">
        <f t="shared" ref="AJ118" si="1397">+AB118*0.01</f>
        <v>250638.55489999999</v>
      </c>
      <c r="AK118" s="4">
        <f t="shared" ref="AK118" si="1398">((+D118+AJ118)-AB118)/D118</f>
        <v>0.27860000728766648</v>
      </c>
      <c r="AL118" s="4">
        <f t="shared" ref="AL118" si="1399">+S118/$D118</f>
        <v>0.89188968879437203</v>
      </c>
      <c r="AM118" s="4">
        <f t="shared" ref="AM118" si="1400">+T118/$D118</f>
        <v>3.4696381898187245E-2</v>
      </c>
      <c r="AN118" s="4">
        <f t="shared" ref="AN118" si="1401">+U118/$D118</f>
        <v>2.3698188146973543E-2</v>
      </c>
      <c r="AO118" s="4">
        <f t="shared" ref="AO118" si="1402">+V118/$D118</f>
        <v>1.232367069980007E-2</v>
      </c>
      <c r="AP118" s="4">
        <f t="shared" ref="AP118" si="1403">+W118/$D118</f>
        <v>8.2765628681881927E-3</v>
      </c>
      <c r="AQ118" s="4">
        <f t="shared" ref="AQ118" si="1404">+X118/$D118</f>
        <v>5.2346323746567522E-3</v>
      </c>
      <c r="AR118" s="4">
        <f t="shared" ref="AR118" si="1405">+Y118/$D118</f>
        <v>2.3951351889223119E-3</v>
      </c>
    </row>
    <row r="119" spans="1:44" x14ac:dyDescent="0.25">
      <c r="A119">
        <f t="shared" si="26"/>
        <v>115</v>
      </c>
      <c r="B119" s="3">
        <f t="shared" si="90"/>
        <v>45366</v>
      </c>
      <c r="C119" s="41">
        <v>1717</v>
      </c>
      <c r="D119" s="2">
        <v>34183471.079999998</v>
      </c>
      <c r="E119" s="8">
        <f t="shared" ref="E119" si="1406">+D119/D$4</f>
        <v>0.45577885179082517</v>
      </c>
      <c r="F119" s="1">
        <v>76466.31</v>
      </c>
      <c r="G119" s="1"/>
      <c r="H119" s="1"/>
      <c r="I119" s="1"/>
      <c r="J119" s="1"/>
      <c r="K119" s="1"/>
      <c r="L119" s="1"/>
      <c r="M119" s="6">
        <f t="shared" ref="M119" si="1407">+F119/D118</f>
        <v>2.223121476792776E-3</v>
      </c>
      <c r="N119" s="6">
        <f t="shared" ref="N119" si="1408">1-(+M119-1)^12</f>
        <v>2.6353673111098153E-2</v>
      </c>
      <c r="O119" s="6">
        <f t="shared" ref="O119" si="1409">AVERAGE(N117:N119)</f>
        <v>1.7681378404031427E-2</v>
      </c>
      <c r="P119" s="6">
        <f t="shared" ref="P119" si="1410">AVERAGE(N114:N119)</f>
        <v>2.2945866796267589E-2</v>
      </c>
      <c r="Q119" s="27">
        <f t="shared" ref="Q119" si="1411">AVERAGE(N108:N119)</f>
        <v>2.2370862817299747E-2</v>
      </c>
      <c r="R119" s="2">
        <v>0</v>
      </c>
      <c r="S119" s="26">
        <v>30467114</v>
      </c>
      <c r="T119" s="26">
        <v>1216534</v>
      </c>
      <c r="U119" s="26">
        <v>766197</v>
      </c>
      <c r="V119" s="26">
        <v>442041</v>
      </c>
      <c r="W119" s="26">
        <v>170739</v>
      </c>
      <c r="X119" s="26">
        <v>225157</v>
      </c>
      <c r="Y119" s="38">
        <v>0</v>
      </c>
      <c r="Z119" s="26">
        <f t="shared" ref="Z119" si="1412">+Z118+Y119</f>
        <v>2749857.6099999985</v>
      </c>
      <c r="AA119" s="4">
        <f t="shared" ref="AA119" si="1413">+Z119/$D$4</f>
        <v>3.6664706785945925E-2</v>
      </c>
      <c r="AB119" s="2">
        <v>24907545.07</v>
      </c>
      <c r="AC119" s="4">
        <f t="shared" ref="AC119" si="1414">+AB119/AB$4</f>
        <v>0.36494571531135533</v>
      </c>
      <c r="AD119" s="25">
        <f t="shared" ref="AD119" si="1415">+$AD$2*AB119</f>
        <v>20528196.486263737</v>
      </c>
      <c r="AE119" s="2">
        <v>6000000</v>
      </c>
      <c r="AF119" s="8">
        <f t="shared" ref="AF119" si="1416">+AE119/$AE$4</f>
        <v>1</v>
      </c>
      <c r="AG119" s="2">
        <v>750000</v>
      </c>
      <c r="AH119" s="8">
        <f t="shared" ref="AH119" si="1417">+AG119/$AG$4</f>
        <v>1</v>
      </c>
      <c r="AI119" s="8">
        <f t="shared" ref="AI119" si="1418">+AB119/D119</f>
        <v>0.72864294593455903</v>
      </c>
      <c r="AJ119" s="2">
        <f t="shared" ref="AJ119" si="1419">+AB119*0.01</f>
        <v>249075.45070000002</v>
      </c>
      <c r="AK119" s="4">
        <f t="shared" ref="AK119" si="1420">((+D119+AJ119)-AB119)/D119</f>
        <v>0.27864348352478657</v>
      </c>
      <c r="AL119" s="4">
        <f t="shared" ref="AL119" si="1421">+S119/$D119</f>
        <v>0.89128204472557626</v>
      </c>
      <c r="AM119" s="4">
        <f t="shared" ref="AM119" si="1422">+T119/$D119</f>
        <v>3.5588369512064191E-2</v>
      </c>
      <c r="AN119" s="4">
        <f t="shared" ref="AN119" si="1423">+U119/$D119</f>
        <v>2.2414253900865121E-2</v>
      </c>
      <c r="AO119" s="4">
        <f t="shared" ref="AO119" si="1424">+V119/$D119</f>
        <v>1.293142521909159E-2</v>
      </c>
      <c r="AP119" s="4">
        <f t="shared" ref="AP119" si="1425">+W119/$D119</f>
        <v>4.9947824081532687E-3</v>
      </c>
      <c r="AQ119" s="4">
        <f t="shared" ref="AQ119" si="1426">+X119/$D119</f>
        <v>6.586721385697266E-3</v>
      </c>
      <c r="AR119" s="4">
        <f t="shared" ref="AR119" si="1427">+Y119/$D119</f>
        <v>0</v>
      </c>
    </row>
    <row r="120" spans="1:44" x14ac:dyDescent="0.25">
      <c r="A120">
        <f t="shared" si="26"/>
        <v>116</v>
      </c>
      <c r="B120" s="3">
        <f t="shared" si="90"/>
        <v>45397</v>
      </c>
      <c r="C120" s="41">
        <v>1706</v>
      </c>
      <c r="D120" s="2">
        <v>33848384.380000003</v>
      </c>
      <c r="E120" s="8">
        <f t="shared" ref="E120" si="1428">+D120/D$4</f>
        <v>0.45131103659970695</v>
      </c>
      <c r="F120" s="1">
        <v>181466.14</v>
      </c>
      <c r="G120" s="1"/>
      <c r="H120" s="1"/>
      <c r="I120" s="1"/>
      <c r="J120" s="1"/>
      <c r="K120" s="1"/>
      <c r="L120" s="1"/>
      <c r="M120" s="6">
        <f t="shared" ref="M120" si="1429">+F120/D119</f>
        <v>5.3085931377569165E-3</v>
      </c>
      <c r="N120" s="6">
        <f t="shared" ref="N120" si="1430">1-(+M120-1)^12</f>
        <v>6.1875683730820197E-2</v>
      </c>
      <c r="O120" s="6">
        <f t="shared" ref="O120" si="1431">AVERAGE(N118:N120)</f>
        <v>3.4315514255438107E-2</v>
      </c>
      <c r="P120" s="6">
        <f t="shared" ref="P120" si="1432">AVERAGE(N115:N120)</f>
        <v>3.0718494857377838E-2</v>
      </c>
      <c r="Q120" s="27">
        <f t="shared" ref="Q120" si="1433">AVERAGE(N109:N120)</f>
        <v>2.631284450727105E-2</v>
      </c>
      <c r="R120" s="2">
        <v>0</v>
      </c>
      <c r="S120" s="26">
        <v>30176955</v>
      </c>
      <c r="T120" s="26">
        <v>1150100</v>
      </c>
      <c r="U120" s="26">
        <v>1017168</v>
      </c>
      <c r="V120" s="26">
        <v>234455</v>
      </c>
      <c r="W120" s="26">
        <v>182883</v>
      </c>
      <c r="X120" s="26">
        <v>116294</v>
      </c>
      <c r="Y120" s="38">
        <v>57670.93</v>
      </c>
      <c r="Z120" s="26">
        <f t="shared" ref="Z120" si="1434">+Z119+Y120</f>
        <v>2807528.5399999986</v>
      </c>
      <c r="AA120" s="4">
        <f t="shared" ref="AA120" si="1435">+Z120/$D$4</f>
        <v>3.7433651232681407E-2</v>
      </c>
      <c r="AB120" s="2">
        <v>24607045.789999999</v>
      </c>
      <c r="AC120" s="4">
        <f t="shared" ref="AC120" si="1436">+AB120/AB$4</f>
        <v>0.36054279545787543</v>
      </c>
      <c r="AD120" s="25">
        <f t="shared" ref="AD120" si="1437">+$AD$2*AB120</f>
        <v>20280532.244505491</v>
      </c>
      <c r="AE120" s="2">
        <v>6000000</v>
      </c>
      <c r="AF120" s="8">
        <f t="shared" ref="AF120" si="1438">+AE120/$AE$4</f>
        <v>1</v>
      </c>
      <c r="AG120" s="2">
        <v>750000</v>
      </c>
      <c r="AH120" s="8">
        <f t="shared" ref="AH120" si="1439">+AG120/$AG$4</f>
        <v>1</v>
      </c>
      <c r="AI120" s="8">
        <f t="shared" ref="AI120" si="1440">+AB120/D120</f>
        <v>0.72697844345384965</v>
      </c>
      <c r="AJ120" s="2">
        <f t="shared" ref="AJ120" si="1441">+AB120*0.01</f>
        <v>246070.45790000001</v>
      </c>
      <c r="AK120" s="4">
        <f t="shared" ref="AK120" si="1442">((+D120+AJ120)-AB120)/D120</f>
        <v>0.28029134098068892</v>
      </c>
      <c r="AL120" s="4">
        <f t="shared" ref="AL120" si="1443">+S120/$D120</f>
        <v>0.89153309833690786</v>
      </c>
      <c r="AM120" s="4">
        <f t="shared" ref="AM120" si="1444">+T120/$D120</f>
        <v>3.397798805072539E-2</v>
      </c>
      <c r="AN120" s="4">
        <f t="shared" ref="AN120" si="1445">+U120/$D120</f>
        <v>3.0050710503069511E-2</v>
      </c>
      <c r="AO120" s="4">
        <f t="shared" ref="AO120" si="1446">+V120/$D120</f>
        <v>6.9266230661966972E-3</v>
      </c>
      <c r="AP120" s="4">
        <f t="shared" ref="AP120" si="1447">+W120/$D120</f>
        <v>5.4030052940447016E-3</v>
      </c>
      <c r="AQ120" s="4">
        <f t="shared" ref="AQ120" si="1448">+X120/$D120</f>
        <v>3.4357326687862433E-3</v>
      </c>
      <c r="AR120" s="4">
        <f t="shared" ref="AR120" si="1449">+Y120/$D120</f>
        <v>1.7038015567465614E-3</v>
      </c>
    </row>
    <row r="121" spans="1:44" x14ac:dyDescent="0.25">
      <c r="A121">
        <f t="shared" si="26"/>
        <v>117</v>
      </c>
      <c r="B121" s="3">
        <f t="shared" si="90"/>
        <v>45427</v>
      </c>
      <c r="C121" s="41">
        <v>1700</v>
      </c>
      <c r="D121" s="2">
        <v>33605567.149999999</v>
      </c>
      <c r="E121" s="8">
        <f t="shared" ref="E121" si="1450">+D121/D$4</f>
        <v>0.44807347895012167</v>
      </c>
      <c r="F121" s="1">
        <v>98911.06</v>
      </c>
      <c r="G121" s="1"/>
      <c r="H121" s="1"/>
      <c r="I121" s="1"/>
      <c r="J121" s="1"/>
      <c r="K121" s="1"/>
      <c r="L121" s="1"/>
      <c r="M121" s="6">
        <f t="shared" ref="M121" si="1451">+F121/D120</f>
        <v>2.9221796493909937E-3</v>
      </c>
      <c r="N121" s="6">
        <f t="shared" ref="N121" si="1452">1-(+M121-1)^12</f>
        <v>3.4508026663765512E-2</v>
      </c>
      <c r="O121" s="6">
        <f t="shared" ref="O121" si="1453">AVERAGE(N119:N121)</f>
        <v>4.0912461168561287E-2</v>
      </c>
      <c r="P121" s="6">
        <f t="shared" ref="P121" si="1454">AVERAGE(N116:N121)</f>
        <v>3.2192498507125598E-2</v>
      </c>
      <c r="Q121" s="27">
        <f t="shared" ref="Q121" si="1455">AVERAGE(N110:N121)</f>
        <v>2.8325211935363265E-2</v>
      </c>
      <c r="R121" s="2">
        <v>1162650.99</v>
      </c>
      <c r="S121" s="26">
        <v>30365164</v>
      </c>
      <c r="T121" s="26">
        <v>1187836</v>
      </c>
      <c r="U121" s="26">
        <v>562771</v>
      </c>
      <c r="V121" s="26">
        <v>255515</v>
      </c>
      <c r="W121" s="26">
        <v>98133</v>
      </c>
      <c r="X121" s="26">
        <v>242461</v>
      </c>
      <c r="Y121" s="38">
        <v>8433.2000000000007</v>
      </c>
      <c r="Z121" s="26">
        <f t="shared" ref="Z121" si="1456">+Z120+Y121</f>
        <v>2815961.7399999988</v>
      </c>
      <c r="AA121" s="4">
        <f t="shared" ref="AA121" si="1457">+Z121/$D$4</f>
        <v>3.7546093711209323E-2</v>
      </c>
      <c r="AB121" s="2">
        <v>23383720.809999999</v>
      </c>
      <c r="AC121" s="4">
        <f t="shared" ref="AC121" si="1458">+AB121/AB$4</f>
        <v>0.34261861992673992</v>
      </c>
      <c r="AD121" s="25">
        <f t="shared" ref="AD121" si="1459">+$AD$2*AB121</f>
        <v>19272297.370879117</v>
      </c>
      <c r="AE121" s="2">
        <v>6000000</v>
      </c>
      <c r="AF121" s="8">
        <f t="shared" ref="AF121" si="1460">+AE121/$AE$4</f>
        <v>1</v>
      </c>
      <c r="AG121" s="2">
        <v>750000</v>
      </c>
      <c r="AH121" s="8">
        <f t="shared" ref="AH121" si="1461">+AG121/$AG$4</f>
        <v>1</v>
      </c>
      <c r="AI121" s="8">
        <f t="shared" ref="AI121" si="1462">+AB121/D121</f>
        <v>0.69582878055965203</v>
      </c>
      <c r="AJ121" s="2">
        <f t="shared" ref="AJ121" si="1463">+AB121*0.01</f>
        <v>233837.20809999999</v>
      </c>
      <c r="AK121" s="4">
        <f t="shared" ref="AK121" si="1464">((+D121+AJ121)-AB121)/D121</f>
        <v>0.31112950724594446</v>
      </c>
      <c r="AL121" s="4">
        <f t="shared" ref="AL121" si="1465">+S121/$D121</f>
        <v>0.90357540655283963</v>
      </c>
      <c r="AM121" s="4">
        <f t="shared" ref="AM121" si="1466">+T121/$D121</f>
        <v>3.5346405394619265E-2</v>
      </c>
      <c r="AN121" s="4">
        <f t="shared" ref="AN121" si="1467">+U121/$D121</f>
        <v>1.6746362216951902E-2</v>
      </c>
      <c r="AO121" s="4">
        <f t="shared" ref="AO121" si="1468">+V121/$D121</f>
        <v>7.6033533033231376E-3</v>
      </c>
      <c r="AP121" s="4">
        <f t="shared" ref="AP121" si="1469">+W121/$D121</f>
        <v>2.9201411647653149E-3</v>
      </c>
      <c r="AQ121" s="4">
        <f t="shared" ref="AQ121" si="1470">+X121/$D121</f>
        <v>7.2149057600416067E-3</v>
      </c>
      <c r="AR121" s="4">
        <f t="shared" ref="AR121" si="1471">+Y121/$D121</f>
        <v>2.5094651616376607E-4</v>
      </c>
    </row>
    <row r="122" spans="1:44" x14ac:dyDescent="0.25">
      <c r="A122">
        <f t="shared" si="26"/>
        <v>118</v>
      </c>
      <c r="B122" s="3">
        <f t="shared" si="90"/>
        <v>45458</v>
      </c>
      <c r="C122" s="41">
        <v>1696</v>
      </c>
      <c r="D122" s="2">
        <v>33395489.030000001</v>
      </c>
      <c r="E122" s="8">
        <f t="shared" ref="E122" si="1472">+D122/D$4</f>
        <v>0.44527244203681671</v>
      </c>
      <c r="F122" s="1">
        <v>66309.72</v>
      </c>
      <c r="G122" s="1"/>
      <c r="H122" s="1"/>
      <c r="I122" s="1"/>
      <c r="J122" s="1"/>
      <c r="K122" s="1"/>
      <c r="L122" s="1"/>
      <c r="M122" s="6">
        <f t="shared" ref="M122" si="1473">+F122/D121</f>
        <v>1.9731766377881232E-3</v>
      </c>
      <c r="N122" s="6">
        <f t="shared" ref="N122" si="1474">1-(+M122-1)^12</f>
        <v>2.3422836186413831E-2</v>
      </c>
      <c r="O122" s="6">
        <f t="shared" ref="O122" si="1475">AVERAGE(N120:N122)</f>
        <v>3.9935515526999844E-2</v>
      </c>
      <c r="P122" s="6">
        <f t="shared" ref="P122" si="1476">AVERAGE(N117:N122)</f>
        <v>2.8808446965515638E-2</v>
      </c>
      <c r="Q122" s="27">
        <f t="shared" ref="Q122" si="1477">AVERAGE(N111:N122)</f>
        <v>2.7760310881984385E-2</v>
      </c>
      <c r="R122" s="2">
        <v>0</v>
      </c>
      <c r="S122" s="26">
        <v>30369258</v>
      </c>
      <c r="T122" s="26">
        <v>1060136</v>
      </c>
      <c r="U122" s="26">
        <v>567313</v>
      </c>
      <c r="V122" s="26">
        <v>263476</v>
      </c>
      <c r="W122" s="26">
        <v>135357</v>
      </c>
      <c r="X122" s="26">
        <v>188176</v>
      </c>
      <c r="Y122" s="38">
        <v>119366.67</v>
      </c>
      <c r="Z122" s="26">
        <f t="shared" ref="Z122" si="1478">+Z121+Y122</f>
        <v>2935328.4099999988</v>
      </c>
      <c r="AA122" s="4">
        <f t="shared" ref="AA122" si="1479">+Z122/$D$4</f>
        <v>3.9137646648222946E-2</v>
      </c>
      <c r="AB122" s="2">
        <v>23150237.440000001</v>
      </c>
      <c r="AC122" s="4">
        <f t="shared" ref="AC122" si="1480">+AB122/AB$4</f>
        <v>0.33919761816849819</v>
      </c>
      <c r="AD122" s="25">
        <f t="shared" ref="AD122" si="1481">+$AD$2*AB122</f>
        <v>19079866.021978021</v>
      </c>
      <c r="AE122" s="2">
        <v>6000000</v>
      </c>
      <c r="AF122" s="8">
        <f t="shared" ref="AF122" si="1482">+AE122/$AE$4</f>
        <v>1</v>
      </c>
      <c r="AG122" s="2">
        <v>750000</v>
      </c>
      <c r="AH122" s="8">
        <f t="shared" ref="AH122" si="1483">+AG122/$AG$4</f>
        <v>1</v>
      </c>
      <c r="AI122" s="8">
        <f t="shared" ref="AI122" si="1484">+AB122/D122</f>
        <v>0.69321450628267689</v>
      </c>
      <c r="AJ122" s="2">
        <f t="shared" ref="AJ122" si="1485">+AB122*0.01</f>
        <v>231502.37440000003</v>
      </c>
      <c r="AK122" s="4">
        <f t="shared" ref="AK122" si="1486">((+D122+AJ122)-AB122)/D122</f>
        <v>0.31371763878014985</v>
      </c>
      <c r="AL122" s="4">
        <f t="shared" ref="AL122" si="1487">+S122/$D122</f>
        <v>0.90938204176972937</v>
      </c>
      <c r="AM122" s="4">
        <f t="shared" ref="AM122" si="1488">+T122/$D122</f>
        <v>3.1744886234414876E-2</v>
      </c>
      <c r="AN122" s="4">
        <f t="shared" ref="AN122" si="1489">+U122/$D122</f>
        <v>1.6987713504969745E-2</v>
      </c>
      <c r="AO122" s="4">
        <f t="shared" ref="AO122" si="1490">+V122/$D122</f>
        <v>7.8895685511091908E-3</v>
      </c>
      <c r="AP122" s="4">
        <f t="shared" ref="AP122" si="1491">+W122/$D122</f>
        <v>4.0531522050300094E-3</v>
      </c>
      <c r="AQ122" s="4">
        <f t="shared" ref="AQ122" si="1492">+X122/$D122</f>
        <v>5.6347730027536593E-3</v>
      </c>
      <c r="AR122" s="4">
        <f t="shared" ref="AR122" si="1493">+Y122/$D122</f>
        <v>3.5743351412752165E-3</v>
      </c>
    </row>
    <row r="123" spans="1:44" x14ac:dyDescent="0.25">
      <c r="A123">
        <f t="shared" si="26"/>
        <v>119</v>
      </c>
      <c r="B123" s="3">
        <f t="shared" si="90"/>
        <v>45488</v>
      </c>
      <c r="C123" s="41">
        <v>1693</v>
      </c>
      <c r="D123" s="2">
        <v>33239924.550000001</v>
      </c>
      <c r="E123" s="8">
        <f t="shared" ref="E123" si="1494">+D123/D$4</f>
        <v>0.44319825244068406</v>
      </c>
      <c r="F123" s="1">
        <v>5851.05</v>
      </c>
      <c r="G123" s="1"/>
      <c r="H123" s="1"/>
      <c r="I123" s="1"/>
      <c r="J123" s="1"/>
      <c r="K123" s="1"/>
      <c r="L123" s="1"/>
      <c r="M123" s="6">
        <f t="shared" ref="M123" si="1495">+F123/D122</f>
        <v>1.7520480070658213E-4</v>
      </c>
      <c r="N123" s="6">
        <f t="shared" ref="N123" si="1496">1-(+M123-1)^12</f>
        <v>2.1004328075546752E-3</v>
      </c>
      <c r="O123" s="6">
        <f t="shared" ref="O123" si="1497">AVERAGE(N121:N123)</f>
        <v>2.0010431885911339E-2</v>
      </c>
      <c r="P123" s="6">
        <f t="shared" ref="P123" si="1498">AVERAGE(N118:N123)</f>
        <v>2.7162973070674723E-2</v>
      </c>
      <c r="Q123" s="27">
        <f t="shared" ref="Q123" si="1499">AVERAGE(N112:N123)</f>
        <v>2.6101889593240002E-2</v>
      </c>
      <c r="R123" s="2">
        <v>0</v>
      </c>
      <c r="S123" s="26">
        <v>30279587</v>
      </c>
      <c r="T123" s="26">
        <v>1023672</v>
      </c>
      <c r="U123" s="26">
        <v>505513</v>
      </c>
      <c r="V123" s="26">
        <v>343390</v>
      </c>
      <c r="W123" s="26">
        <v>108187</v>
      </c>
      <c r="X123" s="26">
        <v>130437</v>
      </c>
      <c r="Y123" s="38">
        <v>14434.45</v>
      </c>
      <c r="Z123" s="26">
        <f t="shared" ref="Z123" si="1500">+Z122+Y123</f>
        <v>2949762.8599999989</v>
      </c>
      <c r="AA123" s="4">
        <f t="shared" ref="AA123" si="1501">+Z123/$D$4</f>
        <v>3.9330105659533869E-2</v>
      </c>
      <c r="AB123" s="2">
        <v>23023704.039999999</v>
      </c>
      <c r="AC123" s="4">
        <f t="shared" ref="AC123" si="1502">+AB123/AB$4</f>
        <v>0.33734364893772895</v>
      </c>
      <c r="AD123" s="25">
        <f t="shared" ref="AD123" si="1503">+$AD$2*AB123</f>
        <v>18975580.252747253</v>
      </c>
      <c r="AE123" s="2">
        <v>6000000</v>
      </c>
      <c r="AF123" s="8">
        <f t="shared" ref="AF123" si="1504">+AE123/$AE$4</f>
        <v>1</v>
      </c>
      <c r="AG123" s="2">
        <v>750000</v>
      </c>
      <c r="AH123" s="8">
        <f t="shared" ref="AH123" si="1505">+AG123/$AG$4</f>
        <v>1</v>
      </c>
      <c r="AI123" s="8">
        <f t="shared" ref="AI123" si="1506">+AB123/D123</f>
        <v>0.69265211493989387</v>
      </c>
      <c r="AJ123" s="2">
        <f t="shared" ref="AJ123" si="1507">+AB123*0.01</f>
        <v>230237.0404</v>
      </c>
      <c r="AK123" s="4">
        <f t="shared" ref="AK123" si="1508">((+D123+AJ123)-AB123)/D123</f>
        <v>0.31427440620950509</v>
      </c>
      <c r="AL123" s="4">
        <f t="shared" ref="AL123" si="1509">+S123/$D123</f>
        <v>0.91094030476672661</v>
      </c>
      <c r="AM123" s="4">
        <f t="shared" ref="AM123" si="1510">+T123/$D123</f>
        <v>3.0796459795213345E-2</v>
      </c>
      <c r="AN123" s="4">
        <f t="shared" ref="AN123" si="1511">+U123/$D123</f>
        <v>1.5208006842482438E-2</v>
      </c>
      <c r="AO123" s="4">
        <f t="shared" ref="AO123" si="1512">+V123/$D123</f>
        <v>1.0330649201187793E-2</v>
      </c>
      <c r="AP123" s="4">
        <f t="shared" ref="AP123" si="1513">+W123/$D123</f>
        <v>3.2547306127985779E-3</v>
      </c>
      <c r="AQ123" s="4">
        <f t="shared" ref="AQ123" si="1514">+X123/$D123</f>
        <v>3.9241063800790127E-3</v>
      </c>
      <c r="AR123" s="4">
        <f t="shared" ref="AR123" si="1515">+Y123/$D123</f>
        <v>4.3425038400094683E-4</v>
      </c>
    </row>
    <row r="124" spans="1:44" x14ac:dyDescent="0.25">
      <c r="A124">
        <f t="shared" si="26"/>
        <v>120</v>
      </c>
      <c r="B124" s="3">
        <f t="shared" si="90"/>
        <v>45519</v>
      </c>
      <c r="C124" s="41">
        <v>1683</v>
      </c>
      <c r="D124" s="2">
        <v>32944557.370000001</v>
      </c>
      <c r="E124" s="8">
        <f t="shared" ref="E124" si="1516">+D124/D$4</f>
        <v>0.43926002996345126</v>
      </c>
      <c r="F124" s="1">
        <v>156757.85999999999</v>
      </c>
      <c r="G124" s="1"/>
      <c r="H124" s="1"/>
      <c r="I124" s="1"/>
      <c r="J124" s="1"/>
      <c r="K124" s="1"/>
      <c r="L124" s="1"/>
      <c r="M124" s="6">
        <f t="shared" ref="M124" si="1517">+F124/D123</f>
        <v>4.715951137741075E-3</v>
      </c>
      <c r="N124" s="6">
        <f t="shared" ref="N124" si="1518">1-(+M124-1)^12</f>
        <v>5.5146392179570958E-2</v>
      </c>
      <c r="O124" s="6">
        <f t="shared" ref="O124" si="1519">AVERAGE(N122:N124)</f>
        <v>2.6889887057846489E-2</v>
      </c>
      <c r="P124" s="6">
        <f t="shared" ref="P124" si="1520">AVERAGE(N119:N124)</f>
        <v>3.390117411320389E-2</v>
      </c>
      <c r="Q124" s="27">
        <f t="shared" ref="Q124" si="1521">AVERAGE(N113:N124)</f>
        <v>2.9544569260284054E-2</v>
      </c>
      <c r="R124" s="2">
        <v>0</v>
      </c>
      <c r="S124" s="26">
        <v>30006928</v>
      </c>
      <c r="T124" s="26">
        <v>1053850</v>
      </c>
      <c r="U124" s="26">
        <v>466726</v>
      </c>
      <c r="V124" s="26">
        <v>348536</v>
      </c>
      <c r="W124" s="26">
        <v>158616</v>
      </c>
      <c r="X124" s="26">
        <v>106803</v>
      </c>
      <c r="Y124" s="38">
        <v>8668.7900000000009</v>
      </c>
      <c r="Z124" s="26">
        <f t="shared" ref="Z124" si="1522">+Z123+Y124</f>
        <v>2958431.649999999</v>
      </c>
      <c r="AA124" s="4">
        <f t="shared" ref="AA124" si="1523">+Z124/$D$4</f>
        <v>3.9445689332805928E-2</v>
      </c>
      <c r="AB124" s="2">
        <v>22796161.960000001</v>
      </c>
      <c r="AC124" s="4">
        <f t="shared" ref="AC124" si="1524">+AB124/AB$4</f>
        <v>0.33400969904761907</v>
      </c>
      <c r="AD124" s="25">
        <f t="shared" ref="AD124" si="1525">+$AD$2*AB124</f>
        <v>18788045.571428571</v>
      </c>
      <c r="AE124" s="2">
        <v>6000000</v>
      </c>
      <c r="AF124" s="8">
        <f t="shared" ref="AF124" si="1526">+AE124/$AE$4</f>
        <v>1</v>
      </c>
      <c r="AG124" s="2">
        <v>750000</v>
      </c>
      <c r="AH124" s="8">
        <f t="shared" ref="AH124" si="1527">+AG124/$AG$4</f>
        <v>1</v>
      </c>
      <c r="AI124" s="8">
        <f t="shared" ref="AI124" si="1528">+AB124/D124</f>
        <v>0.69195532676237015</v>
      </c>
      <c r="AJ124" s="2">
        <f t="shared" ref="AJ124" si="1529">+AB124*0.01</f>
        <v>227961.61960000001</v>
      </c>
      <c r="AK124" s="4">
        <f t="shared" ref="AK124" si="1530">((+D124+AJ124)-AB124)/D124</f>
        <v>0.31496422650525358</v>
      </c>
      <c r="AL124" s="4">
        <f t="shared" ref="AL124" si="1531">+S124/$D124</f>
        <v>0.91083111735248057</v>
      </c>
      <c r="AM124" s="4">
        <f t="shared" ref="AM124" si="1532">+T124/$D124</f>
        <v>3.1988591868581537E-2</v>
      </c>
      <c r="AN124" s="4">
        <f t="shared" ref="AN124" si="1533">+U124/$D124</f>
        <v>1.4167013833520507E-2</v>
      </c>
      <c r="AO124" s="4">
        <f t="shared" ref="AO124" si="1534">+V124/$D124</f>
        <v>1.0579471324674228E-2</v>
      </c>
      <c r="AP124" s="4">
        <f t="shared" ref="AP124" si="1535">+W124/$D124</f>
        <v>4.814634424089699E-3</v>
      </c>
      <c r="AQ124" s="4">
        <f t="shared" ref="AQ124" si="1536">+X124/$D124</f>
        <v>3.2419011978366123E-3</v>
      </c>
      <c r="AR124" s="4">
        <f t="shared" ref="AR124" si="1537">+Y124/$D124</f>
        <v>2.6313268995060111E-4</v>
      </c>
    </row>
    <row r="125" spans="1:44" x14ac:dyDescent="0.25">
      <c r="A125">
        <f t="shared" si="26"/>
        <v>121</v>
      </c>
      <c r="B125" s="3">
        <f t="shared" si="90"/>
        <v>45550</v>
      </c>
      <c r="C125" s="41">
        <v>1680</v>
      </c>
      <c r="D125" s="2">
        <v>32725304.530000001</v>
      </c>
      <c r="E125" s="8">
        <f t="shared" ref="E125" si="1538">+D125/D$4</f>
        <v>0.43633666365482776</v>
      </c>
      <c r="F125" s="1">
        <v>61832.3</v>
      </c>
      <c r="G125" s="1"/>
      <c r="H125" s="1"/>
      <c r="I125" s="1"/>
      <c r="J125" s="1"/>
      <c r="K125" s="1"/>
      <c r="L125" s="1"/>
      <c r="M125" s="6">
        <f t="shared" ref="M125" si="1539">+F125/D124</f>
        <v>1.8768593338669586E-3</v>
      </c>
      <c r="N125" s="6">
        <f t="shared" ref="N125" si="1540">1-(+M125-1)^12</f>
        <v>2.2291268733018343E-2</v>
      </c>
      <c r="O125" s="6">
        <f t="shared" ref="O125" si="1541">AVERAGE(N123:N125)</f>
        <v>2.651269790671466E-2</v>
      </c>
      <c r="P125" s="6">
        <f t="shared" ref="P125" si="1542">AVERAGE(N120:N125)</f>
        <v>3.322410671685725E-2</v>
      </c>
      <c r="Q125" s="27">
        <f t="shared" ref="Q125" si="1543">AVERAGE(N114:N125)</f>
        <v>2.808498675656242E-2</v>
      </c>
      <c r="R125" s="2">
        <v>0</v>
      </c>
      <c r="S125" s="26">
        <v>29993769</v>
      </c>
      <c r="T125" s="26">
        <v>909087</v>
      </c>
      <c r="U125" s="26">
        <v>503087</v>
      </c>
      <c r="V125" s="26">
        <v>178759</v>
      </c>
      <c r="W125" s="26">
        <v>238942</v>
      </c>
      <c r="X125" s="26">
        <v>96012</v>
      </c>
      <c r="Y125" s="38">
        <v>17466.23</v>
      </c>
      <c r="Z125" s="26">
        <f t="shared" ref="Z125" si="1544">+Z124+Y125</f>
        <v>2975897.879999999</v>
      </c>
      <c r="AA125" s="4">
        <f t="shared" ref="AA125" si="1545">+Z125/$D$4</f>
        <v>3.9678572009813305E-2</v>
      </c>
      <c r="AB125" s="2">
        <v>22622437.879999999</v>
      </c>
      <c r="AC125" s="4">
        <f t="shared" ref="AC125" si="1546">+AB125/AB$4</f>
        <v>0.33146429128205129</v>
      </c>
      <c r="AD125" s="25">
        <f t="shared" ref="AD125" si="1547">+$AD$2*AB125</f>
        <v>18644866.384615384</v>
      </c>
      <c r="AE125" s="2">
        <v>6000000</v>
      </c>
      <c r="AF125" s="8">
        <f t="shared" ref="AF125" si="1548">+AE125/$AE$4</f>
        <v>1</v>
      </c>
      <c r="AG125" s="2">
        <v>750000</v>
      </c>
      <c r="AH125" s="8">
        <f t="shared" ref="AH125" si="1549">+AG125/$AG$4</f>
        <v>1</v>
      </c>
      <c r="AI125" s="8">
        <f t="shared" ref="AI125" si="1550">+AB125/D125</f>
        <v>0.6912827307462186</v>
      </c>
      <c r="AJ125" s="2">
        <f t="shared" ref="AJ125" si="1551">+AB125*0.01</f>
        <v>226224.37880000001</v>
      </c>
      <c r="AK125" s="4">
        <f t="shared" ref="AK125" si="1552">((+D125+AJ125)-AB125)/D125</f>
        <v>0.31563009656124363</v>
      </c>
      <c r="AL125" s="4">
        <f t="shared" ref="AL125" si="1553">+S125/$D125</f>
        <v>0.91653139461251021</v>
      </c>
      <c r="AM125" s="4">
        <f t="shared" ref="AM125" si="1554">+T125/$D125</f>
        <v>2.7779328964429348E-2</v>
      </c>
      <c r="AN125" s="4">
        <f t="shared" ref="AN125" si="1555">+U125/$D125</f>
        <v>1.5373027301818052E-2</v>
      </c>
      <c r="AO125" s="4">
        <f t="shared" ref="AO125" si="1556">+V125/$D125</f>
        <v>5.4624090613466323E-3</v>
      </c>
      <c r="AP125" s="4">
        <f t="shared" ref="AP125" si="1557">+W125/$D125</f>
        <v>7.3014446597725819E-3</v>
      </c>
      <c r="AQ125" s="4">
        <f t="shared" ref="AQ125" si="1558">+X125/$D125</f>
        <v>2.9338764414547679E-3</v>
      </c>
      <c r="AR125" s="4">
        <f t="shared" ref="AR125" si="1559">+Y125/$D125</f>
        <v>5.3372245883879631E-4</v>
      </c>
    </row>
    <row r="126" spans="1:44" x14ac:dyDescent="0.25">
      <c r="A126">
        <f t="shared" si="26"/>
        <v>122</v>
      </c>
      <c r="B126" s="3">
        <f t="shared" si="90"/>
        <v>45580</v>
      </c>
      <c r="C126" s="41">
        <v>1672</v>
      </c>
      <c r="D126" s="2">
        <v>32502019.43</v>
      </c>
      <c r="E126" s="8">
        <f t="shared" ref="E126" si="1560">+D126/D$4</f>
        <v>0.43335953396949445</v>
      </c>
      <c r="F126" s="1">
        <v>89176.97</v>
      </c>
      <c r="G126" s="1"/>
      <c r="H126" s="1"/>
      <c r="I126" s="1"/>
      <c r="J126" s="1"/>
      <c r="K126" s="1"/>
      <c r="L126" s="1"/>
      <c r="M126" s="6">
        <f t="shared" ref="M126" si="1561">+F126/D125</f>
        <v>2.7250157418168418E-3</v>
      </c>
      <c r="N126" s="6">
        <f t="shared" ref="N126" si="1562">1-(+M126-1)^12</f>
        <v>3.2214516552535599E-2</v>
      </c>
      <c r="O126" s="6">
        <f t="shared" ref="O126" si="1563">AVERAGE(N124:N126)</f>
        <v>3.6550725821708298E-2</v>
      </c>
      <c r="P126" s="6">
        <f t="shared" ref="P126" si="1564">AVERAGE(N121:N126)</f>
        <v>2.8280578853809819E-2</v>
      </c>
      <c r="Q126" s="27">
        <f t="shared" ref="Q126" si="1565">AVERAGE(N115:N126)</f>
        <v>2.9499536855593828E-2</v>
      </c>
      <c r="R126" s="2">
        <v>0</v>
      </c>
      <c r="S126" s="26">
        <v>29670421</v>
      </c>
      <c r="T126" s="26">
        <v>797359</v>
      </c>
      <c r="U126" s="26">
        <v>643614</v>
      </c>
      <c r="V126" s="26">
        <v>292343</v>
      </c>
      <c r="W126" s="26">
        <v>74412</v>
      </c>
      <c r="X126" s="26">
        <v>183498</v>
      </c>
      <c r="Y126" s="38">
        <v>25578.16</v>
      </c>
      <c r="Z126" s="26">
        <f t="shared" ref="Z126" si="1566">+Z125+Y126</f>
        <v>3001476.0399999991</v>
      </c>
      <c r="AA126" s="4">
        <f t="shared" ref="AA126" si="1567">+Z126/$D$4</f>
        <v>4.0019613572515891E-2</v>
      </c>
      <c r="AB126" s="2">
        <v>22429102.010000002</v>
      </c>
      <c r="AC126" s="4">
        <f t="shared" ref="AC126" si="1568">+AB126/AB$4</f>
        <v>0.3286315312820513</v>
      </c>
      <c r="AD126" s="25">
        <f t="shared" ref="AD126" si="1569">+$AD$2*AB126</f>
        <v>18485523.634615384</v>
      </c>
      <c r="AE126" s="2">
        <v>6000000</v>
      </c>
      <c r="AF126" s="8">
        <f t="shared" ref="AF126" si="1570">+AE126/$AE$4</f>
        <v>1</v>
      </c>
      <c r="AG126" s="2">
        <v>750000</v>
      </c>
      <c r="AH126" s="8">
        <f t="shared" ref="AH126" si="1571">+AG126/$AG$4</f>
        <v>1</v>
      </c>
      <c r="AI126" s="8">
        <f t="shared" ref="AI126" si="1572">+AB126/D126</f>
        <v>0.69008333646177999</v>
      </c>
      <c r="AJ126" s="2">
        <f>+AB126*0.01</f>
        <v>224291.02010000002</v>
      </c>
      <c r="AK126" s="4">
        <f t="shared" ref="AK126" si="1573">((+D126+AJ126)-AB126)/D126</f>
        <v>0.31681749690283784</v>
      </c>
      <c r="AL126" s="4">
        <f t="shared" ref="AL126" si="1574">+S126/$D126</f>
        <v>0.91287930781967419</v>
      </c>
      <c r="AM126" s="4">
        <f t="shared" ref="AM126" si="1575">+T126/$D126</f>
        <v>2.4532598711821028E-2</v>
      </c>
      <c r="AN126" s="4">
        <f t="shared" ref="AN126" si="1576">+U126/$D126</f>
        <v>1.980227725191536E-2</v>
      </c>
      <c r="AO126" s="4">
        <f t="shared" ref="AO126" si="1577">+V126/$D126</f>
        <v>8.9946103388936407E-3</v>
      </c>
      <c r="AP126" s="4">
        <f t="shared" ref="AP126" si="1578">+W126/$D126</f>
        <v>2.2894577415493228E-3</v>
      </c>
      <c r="AQ126" s="4">
        <f t="shared" ref="AQ126" si="1579">+X126/$D126</f>
        <v>5.6457415021611782E-3</v>
      </c>
      <c r="AR126" s="4">
        <f t="shared" ref="AR126" si="1580">+Y126/$D126</f>
        <v>7.8697140819474301E-4</v>
      </c>
    </row>
    <row r="127" spans="1:44" x14ac:dyDescent="0.25">
      <c r="A127">
        <f t="shared" si="26"/>
        <v>123</v>
      </c>
      <c r="B127" s="3">
        <f t="shared" si="90"/>
        <v>45611</v>
      </c>
      <c r="C127" s="41">
        <v>1668</v>
      </c>
      <c r="D127" s="2">
        <v>32317044.559999999</v>
      </c>
      <c r="E127" s="8">
        <f t="shared" ref="E127" si="1581">+D127/D$4</f>
        <v>0.43089320649615359</v>
      </c>
      <c r="F127" s="1">
        <v>29052.13</v>
      </c>
      <c r="G127" s="1"/>
      <c r="H127" s="1"/>
      <c r="I127" s="1"/>
      <c r="J127" s="1"/>
      <c r="K127" s="1"/>
      <c r="L127" s="1"/>
      <c r="M127" s="6">
        <f t="shared" ref="M127" si="1582">+F127/D126</f>
        <v>8.9385615138683715E-4</v>
      </c>
      <c r="N127" s="6">
        <f t="shared" ref="N127" si="1583">1-(+M127-1)^12</f>
        <v>1.067369801689233E-2</v>
      </c>
      <c r="O127" s="6">
        <f t="shared" ref="O127" si="1584">AVERAGE(N125:N127)</f>
        <v>2.1726494434148758E-2</v>
      </c>
      <c r="P127" s="6">
        <f t="shared" ref="P127" si="1585">AVERAGE(N122:N127)</f>
        <v>2.4308190745997622E-2</v>
      </c>
      <c r="Q127" s="27">
        <f t="shared" ref="Q127" si="1586">AVERAGE(N116:N127)</f>
        <v>2.8250344626561608E-2</v>
      </c>
      <c r="R127" s="2">
        <v>0</v>
      </c>
      <c r="S127" s="26">
        <v>29553148</v>
      </c>
      <c r="T127" s="26">
        <v>919978</v>
      </c>
      <c r="U127" s="26">
        <v>447223</v>
      </c>
      <c r="V127" s="26">
        <v>267209</v>
      </c>
      <c r="W127" s="26">
        <v>141736</v>
      </c>
      <c r="X127" s="26">
        <v>133774</v>
      </c>
      <c r="Y127" s="38">
        <v>31925.87</v>
      </c>
      <c r="Z127" s="26">
        <f t="shared" ref="Z127" si="1587">+Z126+Y127</f>
        <v>3033401.9099999992</v>
      </c>
      <c r="AA127" s="4">
        <f t="shared" ref="AA127" si="1588">+Z127/$D$4</f>
        <v>4.0445291126938877E-2</v>
      </c>
      <c r="AB127" s="2">
        <v>22265244.23</v>
      </c>
      <c r="AC127" s="4">
        <f t="shared" ref="AC127" si="1589">+AB127/AB$4</f>
        <v>0.32623068468864469</v>
      </c>
      <c r="AD127" s="25">
        <f t="shared" ref="AD127" si="1590">+$AD$2*AB127</f>
        <v>18350476.013736263</v>
      </c>
      <c r="AE127" s="2">
        <v>6000000</v>
      </c>
      <c r="AF127" s="8">
        <f t="shared" ref="AF127" si="1591">+AE127/$AE$4</f>
        <v>1</v>
      </c>
      <c r="AG127" s="2">
        <v>750000</v>
      </c>
      <c r="AH127" s="8">
        <f t="shared" ref="AH127" si="1592">+AG127/$AG$4</f>
        <v>1</v>
      </c>
      <c r="AI127" s="8">
        <f t="shared" ref="AI127" si="1593">+AB127/D127</f>
        <v>0.6889628842347334</v>
      </c>
      <c r="AJ127" s="2">
        <f t="shared" ref="AJ127" si="1594">+AB127*0.01</f>
        <v>222652.4423</v>
      </c>
      <c r="AK127" s="4">
        <f t="shared" ref="AK127" si="1595">((+D127+AJ127)-AB127)/D127</f>
        <v>0.31792674460761389</v>
      </c>
      <c r="AL127" s="4">
        <f t="shared" ref="AL127" si="1596">+S127/$D127</f>
        <v>0.91447557789919387</v>
      </c>
      <c r="AM127" s="4">
        <f t="shared" ref="AM127" si="1597">+T127/$D127</f>
        <v>2.8467268976034115E-2</v>
      </c>
      <c r="AN127" s="4">
        <f t="shared" ref="AN127" si="1598">+U127/$D127</f>
        <v>1.3838610742070902E-2</v>
      </c>
      <c r="AO127" s="4">
        <f t="shared" ref="AO127" si="1599">+V127/$D127</f>
        <v>8.2683612823535989E-3</v>
      </c>
      <c r="AP127" s="4">
        <f t="shared" ref="AP127" si="1600">+W127/$D127</f>
        <v>4.3857970903512598E-3</v>
      </c>
      <c r="AQ127" s="4">
        <f t="shared" ref="AQ127" si="1601">+X127/$D127</f>
        <v>4.1394255514805656E-3</v>
      </c>
      <c r="AR127" s="4">
        <f t="shared" ref="AR127" si="1602">+Y127/$D127</f>
        <v>9.8789571988014738E-4</v>
      </c>
    </row>
    <row r="128" spans="1:44" x14ac:dyDescent="0.25">
      <c r="A128">
        <f t="shared" si="26"/>
        <v>124</v>
      </c>
      <c r="B128" s="3">
        <f t="shared" si="90"/>
        <v>45641</v>
      </c>
      <c r="C128" s="41">
        <v>1666</v>
      </c>
      <c r="D128" s="2">
        <v>32111581.989999998</v>
      </c>
      <c r="E128" s="8">
        <f t="shared" ref="E128" si="1603">+D128/D$4</f>
        <v>0.42815371014654552</v>
      </c>
      <c r="F128" s="1">
        <v>72539.77</v>
      </c>
      <c r="G128" s="1"/>
      <c r="H128" s="1"/>
      <c r="I128" s="1"/>
      <c r="J128" s="1"/>
      <c r="K128" s="1"/>
      <c r="L128" s="1"/>
      <c r="M128" s="6">
        <f t="shared" ref="M128" si="1604">+F128/D127</f>
        <v>2.2446288324825705E-3</v>
      </c>
      <c r="N128" s="6">
        <f t="shared" ref="N128" si="1605">1-(+M128-1)^12</f>
        <v>2.6605489835780594E-2</v>
      </c>
      <c r="O128" s="6">
        <f t="shared" ref="O128" si="1606">AVERAGE(N126:N128)</f>
        <v>2.3164568135069508E-2</v>
      </c>
      <c r="P128" s="6">
        <f t="shared" ref="P128" si="1607">AVERAGE(N123:N128)</f>
        <v>2.4838633020892082E-2</v>
      </c>
      <c r="Q128" s="27">
        <f t="shared" ref="Q128" si="1608">AVERAGE(N117:N128)</f>
        <v>2.682353999320386E-2</v>
      </c>
      <c r="R128" s="2">
        <v>0</v>
      </c>
      <c r="S128" s="26">
        <v>29153692</v>
      </c>
      <c r="T128" s="26">
        <v>1128993</v>
      </c>
      <c r="U128" s="26">
        <v>424746</v>
      </c>
      <c r="V128" s="26">
        <v>290175</v>
      </c>
      <c r="W128" s="26">
        <v>112519</v>
      </c>
      <c r="X128" s="26">
        <v>142126</v>
      </c>
      <c r="Y128" s="38">
        <v>0</v>
      </c>
      <c r="Z128" s="26">
        <f t="shared" ref="Z128" si="1609">+Z127+Y128</f>
        <v>3033401.9099999992</v>
      </c>
      <c r="AA128" s="4">
        <f t="shared" ref="AA128" si="1610">+Z128/$D$4</f>
        <v>4.0445291126938877E-2</v>
      </c>
      <c r="AB128" s="2">
        <v>22089776.460000001</v>
      </c>
      <c r="AC128" s="4">
        <f t="shared" ref="AC128" si="1611">+AB128/AB$4</f>
        <v>0.32365972835164836</v>
      </c>
      <c r="AD128" s="25">
        <f t="shared" ref="AD128" si="1612">+$AD$2*AB128</f>
        <v>18205859.719780218</v>
      </c>
      <c r="AE128" s="2">
        <v>6000000</v>
      </c>
      <c r="AF128" s="8">
        <f t="shared" ref="AF128" si="1613">+AE128/$AE$4</f>
        <v>1</v>
      </c>
      <c r="AG128" s="2">
        <v>750000</v>
      </c>
      <c r="AH128" s="8">
        <f t="shared" ref="AH128" si="1614">+AG128/$AG$4</f>
        <v>1</v>
      </c>
      <c r="AI128" s="8">
        <f t="shared" ref="AI128" si="1615">+AB128/D128</f>
        <v>0.68790682648021106</v>
      </c>
      <c r="AJ128" s="2">
        <f t="shared" ref="AJ128" si="1616">+AB128*0.01</f>
        <v>220897.76460000002</v>
      </c>
      <c r="AK128" s="4">
        <f t="shared" ref="AK128" si="1617">((+D128+AJ128)-AB128)/D128</f>
        <v>0.31897224178459105</v>
      </c>
      <c r="AL128" s="4">
        <f t="shared" ref="AL128" si="1618">+S128/$D128</f>
        <v>0.90788712960572526</v>
      </c>
      <c r="AM128" s="4">
        <f t="shared" ref="AM128" si="1619">+T128/$D128</f>
        <v>3.515843599208486E-2</v>
      </c>
      <c r="AN128" s="4">
        <f t="shared" ref="AN128" si="1620">+U128/$D128</f>
        <v>1.3227190118888316E-2</v>
      </c>
      <c r="AO128" s="4">
        <f t="shared" ref="AO128" si="1621">+V128/$D128</f>
        <v>9.0364591844264985E-3</v>
      </c>
      <c r="AP128" s="4">
        <f t="shared" ref="AP128" si="1622">+W128/$D128</f>
        <v>3.5040005202808138E-3</v>
      </c>
      <c r="AQ128" s="4">
        <f t="shared" ref="AQ128" si="1623">+X128/$D128</f>
        <v>4.4260043010107709E-3</v>
      </c>
      <c r="AR128" s="4">
        <f t="shared" ref="AR128" si="1624">+Y128/$D128</f>
        <v>0</v>
      </c>
    </row>
    <row r="129" spans="1:44" x14ac:dyDescent="0.25">
      <c r="A129">
        <f t="shared" si="26"/>
        <v>125</v>
      </c>
      <c r="B129" s="3">
        <f t="shared" si="90"/>
        <v>45672</v>
      </c>
      <c r="C129" s="41">
        <v>1661</v>
      </c>
      <c r="D129" s="2">
        <v>31864997.73</v>
      </c>
      <c r="E129" s="8">
        <f t="shared" ref="E129" si="1625">+D129/D$4</f>
        <v>0.42486592551433344</v>
      </c>
      <c r="F129" s="1">
        <v>66011.19</v>
      </c>
      <c r="G129" s="1"/>
      <c r="H129" s="1"/>
      <c r="I129" s="1"/>
      <c r="J129" s="1"/>
      <c r="K129" s="1"/>
      <c r="L129" s="1"/>
      <c r="M129" s="6">
        <f t="shared" ref="M129" si="1626">+F129/D128</f>
        <v>2.0556816546925911E-3</v>
      </c>
      <c r="N129" s="6">
        <f t="shared" ref="N129" si="1627">1-(+M129-1)^12</f>
        <v>2.4391177589616397E-2</v>
      </c>
      <c r="O129" s="6">
        <f t="shared" ref="O129" si="1628">AVERAGE(N127:N129)</f>
        <v>2.0556788480763106E-2</v>
      </c>
      <c r="P129" s="6">
        <f t="shared" ref="P129" si="1629">AVERAGE(N124:N129)</f>
        <v>2.8553757151235704E-2</v>
      </c>
      <c r="Q129" s="27">
        <f t="shared" ref="Q129" si="1630">AVERAGE(N118:N129)</f>
        <v>2.7858365110955213E-2</v>
      </c>
      <c r="R129" s="2">
        <v>0</v>
      </c>
      <c r="S129" s="26">
        <v>29223032</v>
      </c>
      <c r="T129" s="26">
        <v>943521</v>
      </c>
      <c r="U129" s="26">
        <v>520487</v>
      </c>
      <c r="V129" s="26">
        <v>114050</v>
      </c>
      <c r="W129" s="26">
        <v>65200</v>
      </c>
      <c r="X129" s="26">
        <v>130376</v>
      </c>
      <c r="Y129" s="38">
        <v>30235.86</v>
      </c>
      <c r="Z129" s="26">
        <f t="shared" ref="Z129" si="1631">+Z128+Y129</f>
        <v>3063637.7699999991</v>
      </c>
      <c r="AA129" s="4">
        <f t="shared" ref="AA129" si="1632">+Z129/$D$4</f>
        <v>4.0848435252398126E-2</v>
      </c>
      <c r="AB129" s="2">
        <v>21864829.600000001</v>
      </c>
      <c r="AC129" s="4">
        <f t="shared" ref="AC129" si="1633">+AB129/AB$4</f>
        <v>0.32036380366300371</v>
      </c>
      <c r="AD129" s="25">
        <f t="shared" ref="AD129" si="1634">+$AD$2*AB129</f>
        <v>18020463.956043955</v>
      </c>
      <c r="AE129" s="2">
        <v>6000000</v>
      </c>
      <c r="AF129" s="8">
        <f t="shared" ref="AF129" si="1635">+AE129/$AE$4</f>
        <v>1</v>
      </c>
      <c r="AG129" s="2">
        <v>750000</v>
      </c>
      <c r="AH129" s="8">
        <f t="shared" ref="AH129" si="1636">+AG129/$AG$4</f>
        <v>1</v>
      </c>
      <c r="AI129" s="8">
        <f t="shared" ref="AI129" si="1637">+AB129/D129</f>
        <v>0.68617075655445214</v>
      </c>
      <c r="AJ129" s="2">
        <f t="shared" ref="AJ129" si="1638">+AB129*0.01</f>
        <v>218648.29600000003</v>
      </c>
      <c r="AK129" s="4">
        <f t="shared" ref="AK129" si="1639">((+D129+AJ129)-AB129)/D129</f>
        <v>0.32069095101109235</v>
      </c>
      <c r="AL129" s="4">
        <f t="shared" ref="AL129" si="1640">+S129/$D129</f>
        <v>0.91708878336078892</v>
      </c>
      <c r="AM129" s="4">
        <f t="shared" ref="AM129" si="1641">+T129/$D129</f>
        <v>2.9609950328403804E-2</v>
      </c>
      <c r="AN129" s="4">
        <f t="shared" ref="AN129" si="1642">+U129/$D129</f>
        <v>1.6334129517604708E-2</v>
      </c>
      <c r="AO129" s="4">
        <f t="shared" ref="AO129" si="1643">+V129/$D129</f>
        <v>3.5791623450399661E-3</v>
      </c>
      <c r="AP129" s="4">
        <f t="shared" ref="AP129" si="1644">+W129/$D129</f>
        <v>2.0461322656431897E-3</v>
      </c>
      <c r="AQ129" s="4">
        <f t="shared" ref="AQ129" si="1645">+X129/$D129</f>
        <v>4.0915113537652835E-3</v>
      </c>
      <c r="AR129" s="4">
        <f t="shared" ref="AR129" si="1646">+Y129/$D129</f>
        <v>9.4887375345813338E-4</v>
      </c>
    </row>
    <row r="130" spans="1:44" x14ac:dyDescent="0.25">
      <c r="A130">
        <f t="shared" si="26"/>
        <v>126</v>
      </c>
      <c r="B130" s="3">
        <f t="shared" si="90"/>
        <v>45703</v>
      </c>
      <c r="C130" s="41">
        <v>1660</v>
      </c>
      <c r="D130" s="2">
        <v>31723189.850000001</v>
      </c>
      <c r="E130" s="8">
        <f t="shared" ref="E130" si="1647">+D130/D$4</f>
        <v>0.42297515694463411</v>
      </c>
      <c r="F130" s="1">
        <v>141807.88</v>
      </c>
      <c r="G130" s="1"/>
      <c r="H130" s="1"/>
      <c r="I130" s="1"/>
      <c r="J130" s="1"/>
      <c r="K130" s="1"/>
      <c r="L130" s="1"/>
      <c r="M130" s="6">
        <f t="shared" ref="M130" si="1648">+F130/D129</f>
        <v>4.4502711470929077E-3</v>
      </c>
      <c r="N130" s="6">
        <f t="shared" ref="N130" si="1649">1-(+M130-1)^12</f>
        <v>5.2115326899177083E-2</v>
      </c>
      <c r="O130" s="6">
        <f t="shared" ref="O130" si="1650">AVERAGE(N128:N130)</f>
        <v>3.4370664774858027E-2</v>
      </c>
      <c r="P130" s="6">
        <f t="shared" ref="P130" si="1651">AVERAGE(N125:N130)</f>
        <v>2.8048579604503392E-2</v>
      </c>
      <c r="Q130" s="27">
        <f t="shared" ref="Q130" si="1652">AVERAGE(N119:N130)</f>
        <v>3.0974876858853639E-2</v>
      </c>
      <c r="R130" s="2">
        <v>0</v>
      </c>
      <c r="S130" s="26">
        <v>29105963</v>
      </c>
      <c r="T130" s="26">
        <v>945990</v>
      </c>
      <c r="U130" s="26">
        <v>507518</v>
      </c>
      <c r="V130" s="26">
        <v>128543</v>
      </c>
      <c r="W130" s="26">
        <v>87606</v>
      </c>
      <c r="X130" s="26">
        <v>36372</v>
      </c>
      <c r="Y130" s="38">
        <v>73121.37</v>
      </c>
      <c r="Z130" s="26">
        <f t="shared" ref="Z130" si="1653">+Z129+Y130</f>
        <v>3136759.1399999992</v>
      </c>
      <c r="AA130" s="4">
        <f t="shared" ref="AA130" si="1654">+Z130/$D$4</f>
        <v>4.1823385221111842E-2</v>
      </c>
      <c r="AB130" s="2">
        <v>21744333.350000001</v>
      </c>
      <c r="AC130" s="4">
        <f t="shared" ref="AC130" si="1655">+AB130/AB$4</f>
        <v>0.31859829084249086</v>
      </c>
      <c r="AD130" s="25">
        <f t="shared" ref="AD130" si="1656">+$AD$2*AB130</f>
        <v>17921153.859890111</v>
      </c>
      <c r="AE130" s="2">
        <v>6000000</v>
      </c>
      <c r="AF130" s="8">
        <f t="shared" ref="AF130" si="1657">+AE130/$AE$4</f>
        <v>1</v>
      </c>
      <c r="AG130" s="2">
        <v>750000</v>
      </c>
      <c r="AH130" s="8">
        <f t="shared" ref="AH130" si="1658">+AG130/$AG$4</f>
        <v>1</v>
      </c>
      <c r="AI130" s="8">
        <f t="shared" ref="AI130" si="1659">+AB130/D130</f>
        <v>0.68543968790074239</v>
      </c>
      <c r="AJ130" s="2">
        <f t="shared" ref="AJ130" si="1660">+AB130*0.01</f>
        <v>217443.33350000001</v>
      </c>
      <c r="AK130" s="4">
        <f t="shared" ref="AK130" si="1661">((+D130+AJ130)-AB130)/D130</f>
        <v>0.32141470897826502</v>
      </c>
      <c r="AL130" s="4">
        <f t="shared" ref="AL130" si="1662">+S130/$D130</f>
        <v>0.91749799240318197</v>
      </c>
      <c r="AM130" s="4">
        <f t="shared" ref="AM130" si="1663">+T130/$D130</f>
        <v>2.9820141179781136E-2</v>
      </c>
      <c r="AN130" s="4">
        <f t="shared" ref="AN130" si="1664">+U130/$D130</f>
        <v>1.599832811264407E-2</v>
      </c>
      <c r="AO130" s="4">
        <f t="shared" ref="AO130" si="1665">+V130/$D130</f>
        <v>4.0520200083220825E-3</v>
      </c>
      <c r="AP130" s="4">
        <f t="shared" ref="AP130" si="1666">+W130/$D130</f>
        <v>2.7615760084101376E-3</v>
      </c>
      <c r="AQ130" s="4">
        <f t="shared" ref="AQ130" si="1667">+X130/$D130</f>
        <v>1.146542960275478E-3</v>
      </c>
      <c r="AR130" s="4">
        <f t="shared" ref="AR130" si="1668">+Y130/$D130</f>
        <v>2.3049816347519665E-3</v>
      </c>
    </row>
    <row r="131" spans="1:44" x14ac:dyDescent="0.25">
      <c r="A131">
        <f t="shared" si="26"/>
        <v>127</v>
      </c>
      <c r="B131" s="3">
        <f t="shared" si="90"/>
        <v>45731</v>
      </c>
      <c r="C131" s="41">
        <v>1658</v>
      </c>
      <c r="D131" s="2">
        <v>31581831.43</v>
      </c>
      <c r="E131" s="8">
        <f t="shared" ref="E131" si="1669">+D131/D$4</f>
        <v>0.4210903811649076</v>
      </c>
      <c r="F131" s="1">
        <v>33490.300000000003</v>
      </c>
      <c r="G131" s="1"/>
      <c r="H131" s="1"/>
      <c r="I131" s="1"/>
      <c r="J131" s="1"/>
      <c r="K131" s="1"/>
      <c r="L131" s="1"/>
      <c r="M131" s="6">
        <f t="shared" ref="M131" si="1670">+F131/D130</f>
        <v>1.0557040498876567E-3</v>
      </c>
      <c r="N131" s="6">
        <f t="shared" ref="N131" si="1671">1-(+M131-1)^12</f>
        <v>1.2595149106770176E-2</v>
      </c>
      <c r="O131" s="6">
        <f t="shared" ref="O131" si="1672">AVERAGE(N129:N131)</f>
        <v>2.9700551198521219E-2</v>
      </c>
      <c r="P131" s="6">
        <f t="shared" ref="P131" si="1673">AVERAGE(N126:N131)</f>
        <v>2.6432559666795363E-2</v>
      </c>
      <c r="Q131" s="27">
        <f t="shared" ref="Q131" si="1674">AVERAGE(N120:N131)</f>
        <v>2.9828333191826307E-2</v>
      </c>
      <c r="R131" s="2">
        <v>0</v>
      </c>
      <c r="S131" s="26">
        <v>28832806</v>
      </c>
      <c r="T131" s="26">
        <v>979798</v>
      </c>
      <c r="U131" s="26">
        <v>592343</v>
      </c>
      <c r="V131" s="26">
        <v>180837</v>
      </c>
      <c r="W131" s="26">
        <v>48122</v>
      </c>
      <c r="X131" s="26">
        <v>37193</v>
      </c>
      <c r="Y131" s="38">
        <v>0</v>
      </c>
      <c r="Z131" s="26">
        <f t="shared" ref="Z131" si="1675">+Z130+Y131</f>
        <v>3136759.1399999992</v>
      </c>
      <c r="AA131" s="4">
        <f t="shared" ref="AA131" si="1676">+Z131/$D$4</f>
        <v>4.1823385221111842E-2</v>
      </c>
      <c r="AB131" s="2">
        <v>21637514.870000001</v>
      </c>
      <c r="AC131" s="4">
        <f t="shared" ref="AC131" si="1677">+AB131/AB$4</f>
        <v>0.31703318490842491</v>
      </c>
      <c r="AD131" s="25">
        <f t="shared" ref="AD131" si="1678">+$AD$2*AB131</f>
        <v>17833116.6510989</v>
      </c>
      <c r="AE131" s="2">
        <v>6000000</v>
      </c>
      <c r="AF131" s="8">
        <f t="shared" ref="AF131" si="1679">+AE131/$AE$4</f>
        <v>1</v>
      </c>
      <c r="AG131" s="2">
        <v>750000</v>
      </c>
      <c r="AH131" s="8">
        <f t="shared" ref="AH131" si="1680">+AG131/$AG$4</f>
        <v>1</v>
      </c>
      <c r="AI131" s="8">
        <f t="shared" ref="AI131" si="1681">+AB131/D131</f>
        <v>0.68512539932836947</v>
      </c>
      <c r="AJ131" s="2">
        <f t="shared" ref="AJ131" si="1682">+AB131*0.01</f>
        <v>216375.14870000002</v>
      </c>
      <c r="AK131" s="4">
        <f t="shared" ref="AK131" si="1683">((+D131+AJ131)-AB131)/D131</f>
        <v>0.32172585466491416</v>
      </c>
      <c r="AL131" s="4">
        <f t="shared" ref="AL131" si="1684">+S131/$D131</f>
        <v>0.91295547770580954</v>
      </c>
      <c r="AM131" s="4">
        <f t="shared" ref="AM131" si="1685">+T131/$D131</f>
        <v>3.1024103278230943E-2</v>
      </c>
      <c r="AN131" s="4">
        <f t="shared" ref="AN131" si="1686">+U131/$D131</f>
        <v>1.875581539065925E-2</v>
      </c>
      <c r="AO131" s="4">
        <f t="shared" ref="AO131" si="1687">+V131/$D131</f>
        <v>5.7259820539799517E-3</v>
      </c>
      <c r="AP131" s="4">
        <f t="shared" ref="AP131" si="1688">+W131/$D131</f>
        <v>1.5237241737123667E-3</v>
      </c>
      <c r="AQ131" s="4">
        <f t="shared" ref="AQ131" si="1689">+X131/$D131</f>
        <v>1.1776707782902634E-3</v>
      </c>
      <c r="AR131" s="4">
        <f t="shared" ref="AR131" si="1690">+Y131/$D131</f>
        <v>0</v>
      </c>
    </row>
    <row r="132" spans="1:44" x14ac:dyDescent="0.25">
      <c r="A132">
        <f t="shared" si="26"/>
        <v>128</v>
      </c>
      <c r="B132" s="3">
        <f t="shared" si="90"/>
        <v>45762</v>
      </c>
      <c r="C132" s="41">
        <v>1655</v>
      </c>
      <c r="D132" s="2">
        <v>31419256.420000002</v>
      </c>
      <c r="E132" s="8">
        <f t="shared" ref="E132" si="1691">+D132/D$4</f>
        <v>0.41892271799184166</v>
      </c>
      <c r="F132" s="1">
        <v>13055.56</v>
      </c>
      <c r="G132" s="1"/>
      <c r="H132" s="1"/>
      <c r="I132" s="1"/>
      <c r="J132" s="1"/>
      <c r="K132" s="1"/>
      <c r="L132" s="1"/>
      <c r="M132" s="6">
        <f t="shared" ref="M132" si="1692">+F132/D131</f>
        <v>4.1338831248394133E-4</v>
      </c>
      <c r="N132" s="6">
        <f t="shared" ref="N132" si="1693">1-(+M132-1)^12</f>
        <v>4.949396543820761E-3</v>
      </c>
      <c r="O132" s="6">
        <f t="shared" ref="O132" si="1694">AVERAGE(N130:N132)</f>
        <v>2.321995751658934E-2</v>
      </c>
      <c r="P132" s="6">
        <f t="shared" ref="P132" si="1695">AVERAGE(N127:N132)</f>
        <v>2.1888372998676225E-2</v>
      </c>
      <c r="Q132" s="27">
        <f t="shared" ref="Q132" si="1696">AVERAGE(N121:N132)</f>
        <v>2.5084475926243022E-2</v>
      </c>
      <c r="R132" s="2">
        <v>0</v>
      </c>
      <c r="S132" s="26">
        <v>28601557</v>
      </c>
      <c r="T132" s="26">
        <v>1010679</v>
      </c>
      <c r="U132" s="26">
        <v>663237</v>
      </c>
      <c r="V132" s="26">
        <v>208812</v>
      </c>
      <c r="W132" s="26">
        <v>17105</v>
      </c>
      <c r="X132" s="26">
        <v>22912</v>
      </c>
      <c r="Y132" s="38">
        <v>22535.23</v>
      </c>
      <c r="Z132" s="26">
        <f t="shared" ref="Z132" si="1697">+Z131+Y132</f>
        <v>3159294.3699999992</v>
      </c>
      <c r="AA132" s="4">
        <f t="shared" ref="AA132" si="1698">+Z132/$D$4</f>
        <v>4.2123854451700055E-2</v>
      </c>
      <c r="AB132" s="2">
        <v>21499495.91</v>
      </c>
      <c r="AC132" s="4">
        <f t="shared" ref="AC132" si="1699">+AB132/AB$4</f>
        <v>0.3150109290842491</v>
      </c>
      <c r="AD132" s="25">
        <f t="shared" ref="AD132" si="1700">+$AD$2*AB132</f>
        <v>17719364.76098901</v>
      </c>
      <c r="AE132" s="2">
        <v>6000000</v>
      </c>
      <c r="AF132" s="8">
        <f t="shared" ref="AF132" si="1701">+AE132/$AE$4</f>
        <v>1</v>
      </c>
      <c r="AG132" s="2">
        <v>750000</v>
      </c>
      <c r="AH132" s="8">
        <f t="shared" ref="AH132" si="1702">+AG132/$AG$4</f>
        <v>1</v>
      </c>
      <c r="AI132" s="8">
        <f t="shared" ref="AI132" si="1703">+AB132/D132</f>
        <v>0.68427768062373506</v>
      </c>
      <c r="AJ132" s="2">
        <f t="shared" ref="AJ132" si="1704">+AB132*0.01</f>
        <v>214994.95910000001</v>
      </c>
      <c r="AK132" s="4">
        <f t="shared" ref="AK132" si="1705">((+D132+AJ132)-AB132)/D132</f>
        <v>0.32256509618250229</v>
      </c>
      <c r="AL132" s="4">
        <f t="shared" ref="AL132" si="1706">+S132/$D132</f>
        <v>0.91031934739848308</v>
      </c>
      <c r="AM132" s="4">
        <f t="shared" ref="AM132" si="1707">+T132/$D132</f>
        <v>3.2167502199595341E-2</v>
      </c>
      <c r="AN132" s="4">
        <f t="shared" ref="AN132" si="1708">+U132/$D132</f>
        <v>2.1109251954728469E-2</v>
      </c>
      <c r="AO132" s="4">
        <f t="shared" ref="AO132" si="1709">+V132/$D132</f>
        <v>6.6459879638360959E-3</v>
      </c>
      <c r="AP132" s="4">
        <f t="shared" ref="AP132" si="1710">+W132/$D132</f>
        <v>5.4441135625067725E-4</v>
      </c>
      <c r="AQ132" s="4">
        <f t="shared" ref="AQ132" si="1711">+X132/$D132</f>
        <v>7.2923431712455529E-4</v>
      </c>
      <c r="AR132" s="4">
        <f t="shared" ref="AR132" si="1712">+Y132/$D132</f>
        <v>7.1724262658409525E-4</v>
      </c>
    </row>
    <row r="133" spans="1:44" x14ac:dyDescent="0.25">
      <c r="A133">
        <f t="shared" si="26"/>
        <v>129</v>
      </c>
      <c r="B133" s="3">
        <f t="shared" si="90"/>
        <v>45792</v>
      </c>
      <c r="C133" s="41">
        <v>1651</v>
      </c>
      <c r="D133" s="2">
        <v>31248000.59</v>
      </c>
      <c r="E133" s="8">
        <f t="shared" ref="E133" si="1713">+D133/D$4</f>
        <v>0.41663931074577193</v>
      </c>
      <c r="F133" s="1">
        <v>19500.05</v>
      </c>
      <c r="G133" s="1"/>
      <c r="H133" s="1"/>
      <c r="I133" s="1"/>
      <c r="J133" s="1"/>
      <c r="K133" s="1"/>
      <c r="L133" s="1"/>
      <c r="M133" s="6">
        <f t="shared" ref="M133" si="1714">+F133/D132</f>
        <v>6.2064008579105633E-4</v>
      </c>
      <c r="N133" s="6">
        <f t="shared" ref="N133" si="1715">1-(+M133-1)^12</f>
        <v>7.4223107391789833E-3</v>
      </c>
      <c r="O133" s="6">
        <f t="shared" ref="O133" si="1716">AVERAGE(N131:N133)</f>
        <v>8.3222854632566401E-3</v>
      </c>
      <c r="P133" s="6">
        <f t="shared" ref="P133" si="1717">AVERAGE(N128:N133)</f>
        <v>2.1346475119057334E-2</v>
      </c>
      <c r="Q133" s="27">
        <f t="shared" ref="Q133" si="1718">AVERAGE(N122:N133)</f>
        <v>2.2827332932527478E-2</v>
      </c>
      <c r="R133" s="2">
        <v>0</v>
      </c>
      <c r="S133" s="26">
        <v>28609969</v>
      </c>
      <c r="T133" s="26">
        <v>837670</v>
      </c>
      <c r="U133" s="26">
        <v>633642</v>
      </c>
      <c r="V133" s="26">
        <v>150797</v>
      </c>
      <c r="W133" s="26">
        <v>105311</v>
      </c>
      <c r="X133" s="26">
        <v>17105</v>
      </c>
      <c r="Y133" s="38">
        <v>0</v>
      </c>
      <c r="Z133" s="26">
        <f t="shared" ref="Z133" si="1719">+Z132+Y133</f>
        <v>3159294.3699999992</v>
      </c>
      <c r="AA133" s="4">
        <f t="shared" ref="AA133" si="1720">+Z133/$D$4</f>
        <v>4.2123854451700055E-2</v>
      </c>
      <c r="AB133" s="2">
        <v>21354134.77</v>
      </c>
      <c r="AC133" s="4">
        <f t="shared" ref="AC133" si="1721">+AB133/AB$4</f>
        <v>0.31288109553113552</v>
      </c>
      <c r="AD133" s="25">
        <f t="shared" ref="AD133" si="1722">+$AD$2*AB133</f>
        <v>17599561.623626374</v>
      </c>
      <c r="AE133" s="2">
        <v>6000000</v>
      </c>
      <c r="AF133" s="8">
        <f t="shared" ref="AF133" si="1723">+AE133/$AE$4</f>
        <v>1</v>
      </c>
      <c r="AG133" s="2">
        <v>750000</v>
      </c>
      <c r="AH133" s="8">
        <f t="shared" ref="AH133" si="1724">+AG133/$AG$4</f>
        <v>1</v>
      </c>
      <c r="AI133" s="8">
        <f t="shared" ref="AI133" si="1725">+AB133/D133</f>
        <v>0.68337603580415185</v>
      </c>
      <c r="AJ133" s="2">
        <f t="shared" ref="AJ133" si="1726">+AB133*0.01</f>
        <v>213541.34770000001</v>
      </c>
      <c r="AK133" s="4">
        <f t="shared" ref="AK133" si="1727">((+D133+AJ133)-AB133)/D133</f>
        <v>0.3234577245538896</v>
      </c>
      <c r="AL133" s="4">
        <f t="shared" ref="AL133" si="1728">+S133/$D133</f>
        <v>0.91557758767950659</v>
      </c>
      <c r="AM133" s="4">
        <f t="shared" ref="AM133" si="1729">+T133/$D133</f>
        <v>2.6807155151810626E-2</v>
      </c>
      <c r="AN133" s="4">
        <f t="shared" ref="AN133" si="1730">+U133/$D133</f>
        <v>2.027784139900389E-2</v>
      </c>
      <c r="AO133" s="4">
        <f t="shared" ref="AO133" si="1731">+V133/$D133</f>
        <v>4.8258127609053531E-3</v>
      </c>
      <c r="AP133" s="4">
        <f t="shared" ref="AP133" si="1732">+W133/$D133</f>
        <v>3.3701676270993697E-3</v>
      </c>
      <c r="AQ133" s="4">
        <f t="shared" ref="AQ133" si="1733">+X133/$D133</f>
        <v>5.4739502294665055E-4</v>
      </c>
      <c r="AR133" s="4">
        <f t="shared" ref="AR133" si="1734">+Y133/$D133</f>
        <v>0</v>
      </c>
    </row>
    <row r="134" spans="1:44" x14ac:dyDescent="0.25">
      <c r="A134">
        <f t="shared" si="26"/>
        <v>130</v>
      </c>
      <c r="B134" s="3">
        <f t="shared" si="90"/>
        <v>45823</v>
      </c>
      <c r="C134" s="41">
        <v>1647</v>
      </c>
      <c r="D134" s="2">
        <v>31085896.5</v>
      </c>
      <c r="E134" s="8">
        <f t="shared" ref="E134" si="1735">+D134/D$4</f>
        <v>0.41447792649553344</v>
      </c>
      <c r="F134" s="1">
        <v>19650.8</v>
      </c>
      <c r="G134" s="1"/>
      <c r="H134" s="1"/>
      <c r="I134" s="1"/>
      <c r="J134" s="1"/>
      <c r="K134" s="1"/>
      <c r="L134" s="1"/>
      <c r="M134" s="6">
        <f t="shared" ref="M134" si="1736">+F134/D133</f>
        <v>6.2886583554048765E-4</v>
      </c>
      <c r="N134" s="6">
        <f t="shared" ref="N134" si="1737">1-(+M134-1)^12</f>
        <v>7.5203434951407466E-3</v>
      </c>
      <c r="O134" s="6">
        <f t="shared" ref="O134" si="1738">AVERAGE(N132:N134)</f>
        <v>6.6306835927134973E-3</v>
      </c>
      <c r="P134" s="6">
        <f t="shared" ref="P134" si="1739">AVERAGE(N129:N134)</f>
        <v>1.8165617395617357E-2</v>
      </c>
      <c r="Q134" s="27">
        <f t="shared" ref="Q134" si="1740">AVERAGE(N123:N134)</f>
        <v>2.1502125208254719E-2</v>
      </c>
      <c r="R134" s="2">
        <v>0</v>
      </c>
      <c r="S134" s="26">
        <f>1647749.95+24092490.31+2643455.44</f>
        <v>28383695.699999999</v>
      </c>
      <c r="T134" s="26">
        <v>1113025.32</v>
      </c>
      <c r="U134" s="26">
        <v>491566.64</v>
      </c>
      <c r="V134" s="26">
        <v>93278.89</v>
      </c>
      <c r="W134" s="26">
        <v>21400.62</v>
      </c>
      <c r="X134" s="26">
        <f>120344.8+279552.13+583032.4</f>
        <v>982929.33000000007</v>
      </c>
      <c r="Y134" s="38">
        <v>20040.599999999999</v>
      </c>
      <c r="Z134" s="26">
        <f t="shared" ref="Z134" si="1741">+Z133+Y134</f>
        <v>3179334.9699999993</v>
      </c>
      <c r="AA134" s="4">
        <f t="shared" ref="AA134" si="1742">+Z134/$D$4</f>
        <v>4.2391062004608383E-2</v>
      </c>
      <c r="AB134" s="2">
        <v>21112301.5</v>
      </c>
      <c r="AC134" s="4">
        <f t="shared" ref="AC134" si="1743">+AB134/AB$4</f>
        <v>0.30933775091575094</v>
      </c>
      <c r="AD134" s="25">
        <f t="shared" ref="AD134" si="1744">+$AD$2*AB134</f>
        <v>17400248.48901099</v>
      </c>
      <c r="AE134" s="2">
        <v>6000000</v>
      </c>
      <c r="AF134" s="8">
        <f t="shared" ref="AF134" si="1745">+AE134/$AE$4</f>
        <v>1</v>
      </c>
      <c r="AG134" s="2">
        <v>750000</v>
      </c>
      <c r="AH134" s="8">
        <f t="shared" ref="AH134" si="1746">+AG134/$AG$4</f>
        <v>1</v>
      </c>
      <c r="AI134" s="8">
        <f t="shared" ref="AI134" si="1747">+AB134/D134</f>
        <v>0.67916012973922113</v>
      </c>
      <c r="AJ134" s="2">
        <f t="shared" ref="AJ134" si="1748">+AB134*0.01</f>
        <v>211123.01500000001</v>
      </c>
      <c r="AK134" s="4">
        <f t="shared" ref="AK134" si="1749">((+D134+AJ134)-AB134)/D134</f>
        <v>0.32763147155817113</v>
      </c>
      <c r="AL134" s="4">
        <f t="shared" ref="AL134" si="1750">+S134/$D134</f>
        <v>0.91307309409590287</v>
      </c>
      <c r="AM134" s="4">
        <f t="shared" ref="AM134" si="1751">+T134/$D134</f>
        <v>3.5804832587022224E-2</v>
      </c>
      <c r="AN134" s="4">
        <f t="shared" ref="AN134" si="1752">+U134/$D134</f>
        <v>1.5813172381887071E-2</v>
      </c>
      <c r="AO134" s="4">
        <f t="shared" ref="AO134" si="1753">+V134/$D134</f>
        <v>3.0006819973810309E-3</v>
      </c>
      <c r="AP134" s="4">
        <f t="shared" ref="AP134" si="1754">+W134/$D134</f>
        <v>6.8843502711913099E-4</v>
      </c>
      <c r="AQ134" s="4">
        <f t="shared" ref="AQ134" si="1755">+X134/$D134</f>
        <v>3.16197839106876E-2</v>
      </c>
      <c r="AR134" s="4">
        <f t="shared" ref="AR134" si="1756">+Y134/$D134</f>
        <v>6.4468464018723089E-4</v>
      </c>
    </row>
    <row r="135" spans="1:44" x14ac:dyDescent="0.25">
      <c r="A135">
        <f t="shared" si="26"/>
        <v>131</v>
      </c>
      <c r="B135" s="3">
        <f t="shared" si="90"/>
        <v>45853</v>
      </c>
      <c r="C135" s="41">
        <v>1639</v>
      </c>
      <c r="D135" s="2">
        <v>30857352.760000002</v>
      </c>
      <c r="E135" s="8">
        <f t="shared" ref="E135" si="1757">+D135/D$4</f>
        <v>0.41143068172751673</v>
      </c>
      <c r="F135" s="1">
        <v>86958.01</v>
      </c>
      <c r="G135" s="1"/>
      <c r="H135" s="1"/>
      <c r="I135" s="1"/>
      <c r="J135" s="1"/>
      <c r="K135" s="1"/>
      <c r="L135" s="1"/>
      <c r="M135" s="6">
        <f t="shared" ref="M135" si="1758">+F135/D134</f>
        <v>2.7973460569168398E-3</v>
      </c>
      <c r="N135" s="6">
        <f t="shared" ref="N135" si="1759">1-(+M135-1)^12</f>
        <v>3.3056478660886901E-2</v>
      </c>
      <c r="O135" s="6">
        <f t="shared" ref="O135" si="1760">AVERAGE(N133:N135)</f>
        <v>1.5999710965068876E-2</v>
      </c>
      <c r="P135" s="6">
        <f t="shared" ref="P135" si="1761">AVERAGE(N130:N135)</f>
        <v>1.960983424082911E-2</v>
      </c>
      <c r="Q135" s="27">
        <f t="shared" ref="Q135" si="1762">AVERAGE(N124:N135)</f>
        <v>2.4081795696032405E-2</v>
      </c>
      <c r="R135" s="2">
        <v>0</v>
      </c>
      <c r="S135" s="26">
        <v>28609969</v>
      </c>
      <c r="T135" s="26">
        <v>837670</v>
      </c>
      <c r="U135" s="26">
        <v>633642</v>
      </c>
      <c r="V135" s="26">
        <v>150797</v>
      </c>
      <c r="W135" s="26">
        <v>105311</v>
      </c>
      <c r="X135" s="26">
        <v>17105</v>
      </c>
      <c r="Y135" s="38">
        <v>70612.59</v>
      </c>
      <c r="Z135" s="26">
        <f t="shared" ref="Z135" si="1763">+Z134+Y135</f>
        <v>3249947.5599999991</v>
      </c>
      <c r="AA135" s="4">
        <f t="shared" ref="AA135" si="1764">+Z135/$D$4</f>
        <v>4.3332561629291208E-2</v>
      </c>
      <c r="AB135" s="2">
        <v>20910658.789999999</v>
      </c>
      <c r="AC135" s="4">
        <f t="shared" ref="AC135" si="1765">+AB135/AB$4</f>
        <v>0.30638327897435896</v>
      </c>
      <c r="AD135" s="25">
        <f t="shared" ref="AD135" si="1766">+$AD$2*AB135</f>
        <v>17234059.442307692</v>
      </c>
      <c r="AE135" s="2">
        <v>6000000</v>
      </c>
      <c r="AF135" s="8">
        <f t="shared" ref="AF135" si="1767">+AE135/$AE$4</f>
        <v>1</v>
      </c>
      <c r="AG135" s="2">
        <v>750000</v>
      </c>
      <c r="AH135" s="8">
        <f t="shared" ref="AH135" si="1768">+AG135/$AG$4</f>
        <v>1</v>
      </c>
      <c r="AI135" s="8">
        <f t="shared" ref="AI135" si="1769">+AB135/D135</f>
        <v>0.67765562887514519</v>
      </c>
      <c r="AJ135" s="2">
        <f t="shared" ref="AJ135" si="1770">+AB135*0.01</f>
        <v>209106.58789999998</v>
      </c>
      <c r="AK135" s="4">
        <f t="shared" ref="AK135" si="1771">((+D135+AJ135)-AB135)/D135</f>
        <v>0.32912092741360627</v>
      </c>
      <c r="AL135" s="4">
        <f t="shared" ref="AL135" si="1772">+S135/$D135</f>
        <v>0.9271686143176463</v>
      </c>
      <c r="AM135" s="4">
        <f t="shared" ref="AM135" si="1773">+T135/$D135</f>
        <v>2.7146528301217759E-2</v>
      </c>
      <c r="AN135" s="4">
        <f t="shared" ref="AN135" si="1774">+U135/$D135</f>
        <v>2.0534554760037037E-2</v>
      </c>
      <c r="AO135" s="4">
        <f t="shared" ref="AO135" si="1775">+V135/$D135</f>
        <v>4.8869065720853495E-3</v>
      </c>
      <c r="AP135" s="4">
        <f t="shared" ref="AP135" si="1776">+W135/$D135</f>
        <v>3.4128332659991924E-3</v>
      </c>
      <c r="AQ135" s="4">
        <f t="shared" ref="AQ135" si="1777">+X135/$D135</f>
        <v>5.5432493295967363E-4</v>
      </c>
      <c r="AR135" s="4">
        <f t="shared" ref="AR135" si="1778">+Y135/$D135</f>
        <v>2.2883554058964581E-3</v>
      </c>
    </row>
    <row r="136" spans="1:44" x14ac:dyDescent="0.25">
      <c r="A136">
        <f t="shared" si="26"/>
        <v>132</v>
      </c>
      <c r="B136" s="3">
        <f t="shared" si="90"/>
        <v>45884</v>
      </c>
      <c r="C136" s="41">
        <v>1635</v>
      </c>
      <c r="D136" s="2">
        <v>30691744.719999999</v>
      </c>
      <c r="E136" s="8">
        <f t="shared" ref="E136" si="1779">+D136/D$4</f>
        <v>0.40922257822211544</v>
      </c>
      <c r="F136" s="1">
        <v>22382.16</v>
      </c>
      <c r="G136" s="1"/>
      <c r="H136" s="1"/>
      <c r="I136" s="1"/>
      <c r="J136" s="1"/>
      <c r="K136" s="1"/>
      <c r="L136" s="1"/>
      <c r="M136" s="6">
        <f t="shared" ref="M136" si="1780">+F136/D135</f>
        <v>7.2534284370024489E-4</v>
      </c>
      <c r="N136" s="6">
        <f t="shared" ref="N136" si="1781">1-(+M136-1)^12</f>
        <v>8.6694738758250622E-3</v>
      </c>
      <c r="O136" s="6">
        <f t="shared" ref="O136" si="1782">AVERAGE(N134:N136)</f>
        <v>1.641543201061757E-2</v>
      </c>
      <c r="P136" s="6">
        <f t="shared" ref="P136" si="1783">AVERAGE(N131:N136)</f>
        <v>1.2368858736937105E-2</v>
      </c>
      <c r="Q136" s="27">
        <f t="shared" ref="Q136" si="1784">AVERAGE(N125:N136)</f>
        <v>2.0208719170720247E-2</v>
      </c>
      <c r="R136" s="2">
        <v>283991.36</v>
      </c>
      <c r="S136" s="26">
        <v>27914293</v>
      </c>
      <c r="T136" s="26">
        <v>1151090</v>
      </c>
      <c r="U136" s="26">
        <v>619483</v>
      </c>
      <c r="V136" s="26">
        <v>34256</v>
      </c>
      <c r="W136" s="26">
        <v>81384</v>
      </c>
      <c r="X136" s="26">
        <v>14187</v>
      </c>
      <c r="Y136" s="38">
        <v>0</v>
      </c>
      <c r="Z136" s="26">
        <f t="shared" ref="Z136" si="1785">+Z135+Y136</f>
        <v>3249947.5599999991</v>
      </c>
      <c r="AA136" s="4">
        <f t="shared" ref="AA136" si="1786">+Z136/$D$4</f>
        <v>4.3332561629291208E-2</v>
      </c>
      <c r="AB136" s="2">
        <v>20630425.43</v>
      </c>
      <c r="AC136" s="4">
        <f t="shared" ref="AC136" si="1787">+AB136/AB$4</f>
        <v>0.30227729567765566</v>
      </c>
      <c r="AD136" s="25">
        <f t="shared" ref="AD136" si="1788">+$AD$2*AB136</f>
        <v>17003097.881868131</v>
      </c>
      <c r="AE136" s="2">
        <v>6000000</v>
      </c>
      <c r="AF136" s="8">
        <f t="shared" ref="AF136" si="1789">+AE136/$AE$4</f>
        <v>1</v>
      </c>
      <c r="AG136" s="2">
        <v>750000</v>
      </c>
      <c r="AH136" s="8">
        <f t="shared" ref="AH136" si="1790">+AG136/$AG$4</f>
        <v>1</v>
      </c>
      <c r="AI136" s="8">
        <f t="shared" ref="AI136" si="1791">+AB136/D136</f>
        <v>0.67218157906012976</v>
      </c>
      <c r="AJ136" s="2">
        <f t="shared" ref="AJ136" si="1792">+AB136*0.01</f>
        <v>206304.2543</v>
      </c>
      <c r="AK136" s="4">
        <f t="shared" ref="AK136" si="1793">((+D136+AJ136)-AB136)/D136</f>
        <v>0.33454023673047145</v>
      </c>
      <c r="AL136" s="4">
        <f t="shared" ref="AL136" si="1794">+S136/$D136</f>
        <v>0.90950492566197783</v>
      </c>
      <c r="AM136" s="4">
        <f t="shared" ref="AM136" si="1795">+T136/$D136</f>
        <v>3.7504873395154452E-2</v>
      </c>
      <c r="AN136" s="4">
        <f t="shared" ref="AN136" si="1796">+U136/$D136</f>
        <v>2.0184026866231539E-2</v>
      </c>
      <c r="AO136" s="4">
        <f t="shared" ref="AO136" si="1797">+V136/$D136</f>
        <v>1.1161307482685202E-3</v>
      </c>
      <c r="AP136" s="4">
        <f t="shared" ref="AP136" si="1798">+W136/$D136</f>
        <v>2.6516576604707276E-3</v>
      </c>
      <c r="AQ136" s="4">
        <f t="shared" ref="AQ136" si="1799">+X136/$D136</f>
        <v>4.622415613523323E-4</v>
      </c>
      <c r="AR136" s="4">
        <f t="shared" ref="AR136" si="1800">+Y136/$D136</f>
        <v>0</v>
      </c>
    </row>
    <row r="137" spans="1:44" x14ac:dyDescent="0.25">
      <c r="A137">
        <f t="shared" si="26"/>
        <v>133</v>
      </c>
      <c r="B137" s="3">
        <f t="shared" si="90"/>
        <v>45915</v>
      </c>
      <c r="C137" s="41">
        <v>1628</v>
      </c>
      <c r="D137" s="2">
        <v>30428660.09</v>
      </c>
      <c r="E137" s="8">
        <f t="shared" ref="E137" si="1801">+D137/D$4</f>
        <v>0.40571478902468172</v>
      </c>
      <c r="F137" s="1">
        <v>106787.36</v>
      </c>
      <c r="G137" s="1"/>
      <c r="H137" s="1"/>
      <c r="I137" s="1"/>
      <c r="J137" s="1"/>
      <c r="K137" s="1"/>
      <c r="L137" s="1"/>
      <c r="M137" s="6">
        <f t="shared" ref="M137" si="1802">+F137/D136</f>
        <v>3.4793512383938532E-3</v>
      </c>
      <c r="N137" s="6">
        <f t="shared" ref="N137" si="1803">1-(+M137-1)^12</f>
        <v>4.0962420844570246E-2</v>
      </c>
      <c r="O137" s="6">
        <f t="shared" ref="O137" si="1804">AVERAGE(N135:N137)</f>
        <v>2.7562791127094071E-2</v>
      </c>
      <c r="P137" s="6">
        <f t="shared" ref="P137" si="1805">AVERAGE(N132:N137)</f>
        <v>1.7096737359903785E-2</v>
      </c>
      <c r="Q137" s="27">
        <f t="shared" ref="Q137" si="1806">AVERAGE(N126:N137)</f>
        <v>2.1764648513349572E-2</v>
      </c>
      <c r="R137" s="2">
        <v>548742.39</v>
      </c>
      <c r="S137" s="26">
        <v>27713010</v>
      </c>
      <c r="T137" s="26">
        <v>1084440</v>
      </c>
      <c r="U137" s="26">
        <v>634685</v>
      </c>
      <c r="V137" s="26">
        <v>59221</v>
      </c>
      <c r="W137" s="26">
        <v>59362</v>
      </c>
      <c r="X137" s="26">
        <v>58444</v>
      </c>
      <c r="Y137" s="38">
        <v>0</v>
      </c>
      <c r="Z137" s="26">
        <f t="shared" ref="Z137" si="1807">+Z136+Y137</f>
        <v>3249947.5599999991</v>
      </c>
      <c r="AA137" s="4">
        <f t="shared" ref="AA137" si="1808">+Z137/$D$4</f>
        <v>4.3332561629291208E-2</v>
      </c>
      <c r="AB137" s="2">
        <v>20311309.780000001</v>
      </c>
      <c r="AC137" s="4">
        <f t="shared" ref="AC137" si="1809">+AB137/AB$4</f>
        <v>0.29760160849816852</v>
      </c>
      <c r="AD137" s="25">
        <f t="shared" ref="AD137" si="1810">+$AD$2*AB137</f>
        <v>16740090.478021977</v>
      </c>
      <c r="AE137" s="2">
        <v>6000000</v>
      </c>
      <c r="AF137" s="8">
        <f t="shared" ref="AF137" si="1811">+AE137/$AE$4</f>
        <v>1</v>
      </c>
      <c r="AG137" s="2">
        <v>750000</v>
      </c>
      <c r="AH137" s="8">
        <f t="shared" ref="AH137" si="1812">+AG137/$AG$4</f>
        <v>1</v>
      </c>
      <c r="AI137" s="8">
        <f t="shared" ref="AI137" si="1813">+AB137/D137</f>
        <v>0.66750588819634094</v>
      </c>
      <c r="AJ137" s="2">
        <v>205754.76</v>
      </c>
      <c r="AK137" s="4">
        <f t="shared" ref="AK137" si="1814">((+D137+AJ137)-AB137)/D137</f>
        <v>0.33925598562233639</v>
      </c>
      <c r="AL137" s="4">
        <f t="shared" ref="AL137" si="1815">+S137/$D137</f>
        <v>0.91075354346961657</v>
      </c>
      <c r="AM137" s="4">
        <f t="shared" ref="AM137" si="1816">+T137/$D137</f>
        <v>3.5638769396763144E-2</v>
      </c>
      <c r="AN137" s="4">
        <f t="shared" ref="AN137" si="1817">+U137/$D137</f>
        <v>2.0858131712759225E-2</v>
      </c>
      <c r="AO137" s="4">
        <f t="shared" ref="AO137" si="1818">+V137/$D137</f>
        <v>1.9462243761256594E-3</v>
      </c>
      <c r="AP137" s="4">
        <f t="shared" ref="AP137" si="1819">+W137/$D137</f>
        <v>1.9508581654408301E-3</v>
      </c>
      <c r="AQ137" s="4">
        <f t="shared" ref="AQ137" si="1820">+X137/$D137</f>
        <v>1.9206892392612087E-3</v>
      </c>
      <c r="AR137" s="4">
        <f t="shared" ref="AR137" si="1821">+Y137/$D137</f>
        <v>0</v>
      </c>
    </row>
    <row r="138" spans="1:44" x14ac:dyDescent="0.25">
      <c r="A138">
        <f t="shared" si="26"/>
        <v>134</v>
      </c>
      <c r="B138" s="3">
        <f t="shared" si="90"/>
        <v>45945</v>
      </c>
      <c r="C138" s="41">
        <v>1621</v>
      </c>
      <c r="D138" s="2">
        <v>30214562.140000001</v>
      </c>
      <c r="E138" s="8">
        <f t="shared" ref="E138" si="1822">+D138/D$4</f>
        <v>0.40286015446772294</v>
      </c>
      <c r="F138" s="1">
        <v>81057.64</v>
      </c>
      <c r="G138" s="1"/>
      <c r="H138" s="1"/>
      <c r="I138" s="1"/>
      <c r="J138" s="1"/>
      <c r="K138" s="1"/>
      <c r="L138" s="1"/>
      <c r="M138" s="6">
        <f t="shared" ref="M138" si="1823">+F138/D137</f>
        <v>2.6638583414535094E-3</v>
      </c>
      <c r="N138" s="6">
        <f t="shared" ref="N138" si="1824">1-(+M138-1)^12</f>
        <v>3.1502088639458248E-2</v>
      </c>
      <c r="O138" s="6">
        <f t="shared" ref="O138" si="1825">AVERAGE(N136:N138)</f>
        <v>2.7044661119951185E-2</v>
      </c>
      <c r="P138" s="6">
        <f t="shared" ref="P138" si="1826">AVERAGE(N133:N138)</f>
        <v>2.1522186042510032E-2</v>
      </c>
      <c r="Q138" s="27">
        <f t="shared" ref="Q138" si="1827">AVERAGE(N127:N138)</f>
        <v>2.1705279520593129E-2</v>
      </c>
      <c r="R138" s="2">
        <v>546294.43000000005</v>
      </c>
      <c r="S138" s="26">
        <v>27508064</v>
      </c>
      <c r="T138" s="26">
        <v>1063329</v>
      </c>
      <c r="U138" s="26">
        <v>681337</v>
      </c>
      <c r="V138" s="26">
        <v>106430</v>
      </c>
      <c r="W138" s="26">
        <v>13937</v>
      </c>
      <c r="X138" s="26">
        <v>35627</v>
      </c>
      <c r="Y138" s="38">
        <v>0</v>
      </c>
      <c r="Z138" s="26">
        <f t="shared" ref="Z138" si="1828">+Z137+Y138</f>
        <v>3249947.5599999991</v>
      </c>
      <c r="AA138" s="4">
        <f t="shared" ref="AA138" si="1829">+Z138/$D$4</f>
        <v>4.3332561629291208E-2</v>
      </c>
      <c r="AB138" s="2">
        <v>19607055.850000001</v>
      </c>
      <c r="AC138" s="4">
        <f t="shared" ref="AC138" si="1830">+AB138/AB$4</f>
        <v>0.28728286959706961</v>
      </c>
      <c r="AD138" s="25">
        <f t="shared" ref="AD138" si="1831">+$AD$2*AB138</f>
        <v>16159661.414835164</v>
      </c>
      <c r="AE138" s="2">
        <v>6000000</v>
      </c>
      <c r="AF138" s="8">
        <f t="shared" ref="AF138" si="1832">+AE138/$AE$4</f>
        <v>1</v>
      </c>
      <c r="AG138" s="2">
        <v>750000</v>
      </c>
      <c r="AH138" s="8">
        <f t="shared" ref="AH138" si="1833">+AG138/$AG$4</f>
        <v>1</v>
      </c>
      <c r="AI138" s="8">
        <f t="shared" ref="AI138" si="1834">+AB138/D138</f>
        <v>0.64892735361016229</v>
      </c>
      <c r="AJ138" s="2">
        <v>196070.56</v>
      </c>
      <c r="AK138" s="4">
        <f t="shared" ref="AK138" si="1835">((+D138+AJ138)-AB138)/D138</f>
        <v>0.35756191997558423</v>
      </c>
      <c r="AL138" s="4">
        <f t="shared" ref="AL138" si="1836">+S138/$D138</f>
        <v>0.9104240489251717</v>
      </c>
      <c r="AM138" s="4">
        <f t="shared" ref="AM138" si="1837">+T138/$D138</f>
        <v>3.5192600014292315E-2</v>
      </c>
      <c r="AN138" s="4">
        <f t="shared" ref="AN138" si="1838">+U138/$D138</f>
        <v>2.2549954450539655E-2</v>
      </c>
      <c r="AO138" s="4">
        <f t="shared" ref="AO138" si="1839">+V138/$D138</f>
        <v>3.5224736836116863E-3</v>
      </c>
      <c r="AP138" s="4">
        <f t="shared" ref="AP138" si="1840">+W138/$D138</f>
        <v>4.6126764754764703E-4</v>
      </c>
      <c r="AQ138" s="4">
        <f t="shared" ref="AQ138" si="1841">+X138/$D138</f>
        <v>1.1791334203329281E-3</v>
      </c>
      <c r="AR138" s="4">
        <f t="shared" ref="AR138" si="1842">+Y138/$D138</f>
        <v>0</v>
      </c>
    </row>
    <row r="139" spans="1:44" x14ac:dyDescent="0.25">
      <c r="A139">
        <f t="shared" si="26"/>
        <v>135</v>
      </c>
      <c r="B139" s="3">
        <f t="shared" si="90"/>
        <v>45976</v>
      </c>
      <c r="C139" s="41">
        <v>1615</v>
      </c>
      <c r="D139" s="2">
        <v>30012823.469999999</v>
      </c>
      <c r="E139" s="8">
        <f t="shared" ref="E139" si="1843">+D139/D$4</f>
        <v>0.40017031003503728</v>
      </c>
      <c r="F139" s="1">
        <v>58417.87</v>
      </c>
      <c r="G139" s="1"/>
      <c r="H139" s="1"/>
      <c r="I139" s="1"/>
      <c r="J139" s="1"/>
      <c r="K139" s="1"/>
      <c r="L139" s="1"/>
      <c r="M139" s="6">
        <f t="shared" ref="M139" si="1844">+F139/D138</f>
        <v>1.9334342734910141E-3</v>
      </c>
      <c r="N139" s="6">
        <f t="shared" ref="N139" si="1845">1-(+M139-1)^12</f>
        <v>2.2956075342734028E-2</v>
      </c>
      <c r="O139" s="6">
        <f t="shared" ref="O139" si="1846">AVERAGE(N137:N139)</f>
        <v>3.1806861608920843E-2</v>
      </c>
      <c r="P139" s="6">
        <f t="shared" ref="P139" si="1847">AVERAGE(N134:N139)</f>
        <v>2.4111146809769207E-2</v>
      </c>
      <c r="Q139" s="27">
        <f t="shared" ref="Q139" si="1848">AVERAGE(N128:N139)</f>
        <v>2.272881096441327E-2</v>
      </c>
      <c r="R139" s="2">
        <v>0</v>
      </c>
      <c r="S139" s="26">
        <v>27240307</v>
      </c>
      <c r="T139" s="26">
        <v>1060335</v>
      </c>
      <c r="U139" s="26">
        <v>757041</v>
      </c>
      <c r="V139" s="26">
        <v>134183</v>
      </c>
      <c r="W139" s="26">
        <v>31828</v>
      </c>
      <c r="X139" s="26">
        <v>83050</v>
      </c>
      <c r="Y139" s="38">
        <v>0</v>
      </c>
      <c r="Z139" s="26">
        <f t="shared" ref="Z139" si="1849">+Z138+Y139</f>
        <v>3249947.5599999991</v>
      </c>
      <c r="AA139" s="4">
        <f t="shared" ref="AA139" si="1850">+Z139/$D$4</f>
        <v>4.3332561629291208E-2</v>
      </c>
      <c r="AB139" s="2">
        <v>19465867.210000001</v>
      </c>
      <c r="AC139" s="4">
        <f t="shared" ref="AC139" si="1851">+AB139/AB$4</f>
        <v>0.2852141715750916</v>
      </c>
      <c r="AD139" s="25">
        <f t="shared" ref="AD139" si="1852">+$AD$2*AB139</f>
        <v>16043297.151098901</v>
      </c>
      <c r="AE139" s="2">
        <v>6000000</v>
      </c>
      <c r="AF139" s="8">
        <f t="shared" ref="AF139" si="1853">+AE139/$AE$4</f>
        <v>1</v>
      </c>
      <c r="AG139" s="2">
        <v>750000</v>
      </c>
      <c r="AH139" s="8">
        <f t="shared" ref="AH139" si="1854">+AG139/$AG$4</f>
        <v>1</v>
      </c>
      <c r="AI139" s="8">
        <f t="shared" ref="AI139" si="1855">+AB139/D139</f>
        <v>0.64858500332224833</v>
      </c>
      <c r="AJ139" s="2">
        <v>195626.4</v>
      </c>
      <c r="AK139" s="4">
        <f t="shared" ref="AK139" si="1856">((+D139+AJ139)-AB139)/D139</f>
        <v>0.35793309052505473</v>
      </c>
      <c r="AL139" s="4">
        <f t="shared" ref="AL139" si="1857">+S139/$D139</f>
        <v>0.90762227110117344</v>
      </c>
      <c r="AM139" s="4">
        <f t="shared" ref="AM139" si="1858">+T139/$D139</f>
        <v>3.5329398483947436E-2</v>
      </c>
      <c r="AN139" s="4">
        <f t="shared" ref="AN139" si="1859">+U139/$D139</f>
        <v>2.5223918061448553E-2</v>
      </c>
      <c r="AO139" s="4">
        <f t="shared" ref="AO139" si="1860">+V139/$D139</f>
        <v>4.4708556039096316E-3</v>
      </c>
      <c r="AP139" s="4">
        <f t="shared" ref="AP139" si="1861">+W139/$D139</f>
        <v>1.0604800322040477E-3</v>
      </c>
      <c r="AQ139" s="4">
        <f t="shared" ref="AQ139" si="1862">+X139/$D139</f>
        <v>2.7671505176117307E-3</v>
      </c>
      <c r="AR139" s="4">
        <f t="shared" ref="AR139" si="1863">+Y139/$D139</f>
        <v>0</v>
      </c>
    </row>
    <row r="140" spans="1:44" x14ac:dyDescent="0.25">
      <c r="A140">
        <f t="shared" si="26"/>
        <v>136</v>
      </c>
      <c r="B140" s="3">
        <f t="shared" si="90"/>
        <v>46006</v>
      </c>
      <c r="C140" s="41">
        <v>1611</v>
      </c>
      <c r="D140" s="2">
        <v>29859538.27</v>
      </c>
      <c r="E140" s="8">
        <f t="shared" ref="E140" si="1864">+D140/D$4</f>
        <v>0.3981265107880555</v>
      </c>
      <c r="F140" s="1">
        <v>27817.64</v>
      </c>
      <c r="G140" s="1"/>
      <c r="H140" s="1"/>
      <c r="I140" s="1"/>
      <c r="J140" s="1"/>
      <c r="K140" s="1"/>
      <c r="L140" s="1"/>
      <c r="M140" s="6">
        <f t="shared" ref="M140" si="1865">+F140/D139</f>
        <v>9.2685848193542182E-4</v>
      </c>
      <c r="N140" s="6">
        <f t="shared" ref="N140" si="1866">1-(+M140-1)^12</f>
        <v>1.1065778191158837E-2</v>
      </c>
      <c r="O140" s="6">
        <f t="shared" ref="O140" si="1867">AVERAGE(N138:N140)</f>
        <v>2.1841314057783705E-2</v>
      </c>
      <c r="P140" s="6">
        <f t="shared" ref="P140" si="1868">AVERAGE(N135:N140)</f>
        <v>2.4702052592438888E-2</v>
      </c>
      <c r="Q140" s="27">
        <f t="shared" ref="Q140" si="1869">AVERAGE(N129:N140)</f>
        <v>2.1433834994028123E-2</v>
      </c>
      <c r="R140" s="2">
        <v>0</v>
      </c>
      <c r="S140" s="26">
        <v>26716226</v>
      </c>
      <c r="T140" s="26">
        <v>1245612</v>
      </c>
      <c r="U140" s="26">
        <v>863640</v>
      </c>
      <c r="V140" s="26">
        <v>170932</v>
      </c>
      <c r="W140" s="26">
        <v>75554</v>
      </c>
      <c r="X140" s="26">
        <v>25321</v>
      </c>
      <c r="Y140" s="38">
        <v>27610.31</v>
      </c>
      <c r="Z140" s="26">
        <f t="shared" ref="Z140" si="1870">+Z139+Y140</f>
        <v>3277557.8699999992</v>
      </c>
      <c r="AA140" s="4">
        <f t="shared" ref="AA140" si="1871">+Z140/$D$4</f>
        <v>4.3700698479991293E-2</v>
      </c>
      <c r="AB140" s="2">
        <v>19326635.66</v>
      </c>
      <c r="AC140" s="4">
        <f t="shared" ref="AC140" si="1872">+AB140/AB$4</f>
        <v>0.28317414886446884</v>
      </c>
      <c r="AD140" s="25">
        <f t="shared" ref="AD140" si="1873">+$AD$2*AB140</f>
        <v>15928545.873626374</v>
      </c>
      <c r="AE140" s="2">
        <v>6000000</v>
      </c>
      <c r="AF140" s="8">
        <f t="shared" ref="AF140" si="1874">+AE140/$AE$4</f>
        <v>1</v>
      </c>
      <c r="AG140" s="2">
        <v>750000</v>
      </c>
      <c r="AH140" s="8">
        <f t="shared" ref="AH140" si="1875">+AG140/$AG$4</f>
        <v>1</v>
      </c>
      <c r="AI140" s="8">
        <f t="shared" ref="AI140" si="1876">+AB140/D140</f>
        <v>0.64725165825546438</v>
      </c>
      <c r="AJ140" s="2">
        <v>193266.36</v>
      </c>
      <c r="AK140" s="4">
        <f t="shared" ref="AK140" si="1877">((+D140+AJ140)-AB140)/D140</f>
        <v>0.35922085844095669</v>
      </c>
      <c r="AL140" s="4">
        <f t="shared" ref="AL140" si="1878">+S140/$D140</f>
        <v>0.89473004433032044</v>
      </c>
      <c r="AM140" s="4">
        <f t="shared" ref="AM140" si="1879">+T140/$D140</f>
        <v>4.1715715385039008E-2</v>
      </c>
      <c r="AN140" s="4">
        <f t="shared" ref="AN140" si="1880">+U140/$D140</f>
        <v>2.8923421125627471E-2</v>
      </c>
      <c r="AO140" s="4">
        <f t="shared" ref="AO140" si="1881">+V140/$D140</f>
        <v>5.7245359407227031E-3</v>
      </c>
      <c r="AP140" s="4">
        <f t="shared" ref="AP140" si="1882">+W140/$D140</f>
        <v>2.5303137415192186E-3</v>
      </c>
      <c r="AQ140" s="4">
        <f t="shared" ref="AQ140" si="1883">+X140/$D140</f>
        <v>8.4800373572554912E-4</v>
      </c>
      <c r="AR140" s="4">
        <f t="shared" ref="AR140" si="1884">+Y140/$D140</f>
        <v>9.2467303915882027E-4</v>
      </c>
    </row>
    <row r="141" spans="1:44" x14ac:dyDescent="0.25">
      <c r="A141">
        <f t="shared" si="26"/>
        <v>137</v>
      </c>
      <c r="B141" s="3">
        <f t="shared" si="90"/>
        <v>46037</v>
      </c>
      <c r="C141" s="41">
        <v>1607</v>
      </c>
      <c r="D141" s="2">
        <v>29683695.609999999</v>
      </c>
      <c r="E141" s="8">
        <f t="shared" ref="E141" si="1885">+D141/D$4</f>
        <v>0.39578194591098148</v>
      </c>
      <c r="F141" s="1">
        <v>31627.7</v>
      </c>
      <c r="G141" s="1"/>
      <c r="H141" s="1"/>
      <c r="I141" s="1"/>
      <c r="J141" s="1"/>
      <c r="K141" s="1"/>
      <c r="L141" s="1"/>
      <c r="M141" s="6">
        <f t="shared" ref="M141" si="1886">+F141/D140</f>
        <v>1.0592159769522117E-3</v>
      </c>
      <c r="N141" s="6">
        <f t="shared" ref="N141" si="1887">1-(+M141-1)^12</f>
        <v>1.2636804603874952E-2</v>
      </c>
      <c r="O141" s="6">
        <f t="shared" ref="O141" si="1888">AVERAGE(N139:N141)</f>
        <v>1.5552886045922606E-2</v>
      </c>
      <c r="P141" s="6">
        <f t="shared" ref="P141" si="1889">AVERAGE(N136:N141)</f>
        <v>2.1298773582936897E-2</v>
      </c>
      <c r="Q141" s="27">
        <f t="shared" ref="Q141" si="1890">AVERAGE(N130:N141)</f>
        <v>2.0454303911883003E-2</v>
      </c>
      <c r="R141" s="2">
        <v>0</v>
      </c>
      <c r="S141" s="26">
        <v>26454588</v>
      </c>
      <c r="T141" s="26">
        <v>1311950</v>
      </c>
      <c r="U141" s="26">
        <v>899197</v>
      </c>
      <c r="V141" s="26">
        <v>150788</v>
      </c>
      <c r="W141" s="26">
        <v>9450</v>
      </c>
      <c r="X141" s="26">
        <v>25045</v>
      </c>
      <c r="Y141" s="38">
        <v>0</v>
      </c>
      <c r="Z141" s="26">
        <f t="shared" ref="Z141" si="1891">+Z140+Y141</f>
        <v>3277557.8699999992</v>
      </c>
      <c r="AA141" s="4">
        <f t="shared" ref="AA141" si="1892">+Z141/$D$4</f>
        <v>4.3700698479991293E-2</v>
      </c>
      <c r="AB141" s="2">
        <v>19156529.789999999</v>
      </c>
      <c r="AC141" s="4">
        <f t="shared" ref="AC141" si="1893">+AB141/AB$4</f>
        <v>0.28068175516483518</v>
      </c>
      <c r="AD141" s="25">
        <f t="shared" ref="AD141" si="1894">+$AD$2*AB141</f>
        <v>15788348.728021976</v>
      </c>
      <c r="AE141" s="2">
        <v>6000000</v>
      </c>
      <c r="AF141" s="8">
        <f t="shared" ref="AF141" si="1895">+AE141/$AE$4</f>
        <v>1</v>
      </c>
      <c r="AG141" s="2">
        <v>750000</v>
      </c>
      <c r="AH141" s="8">
        <f t="shared" ref="AH141" si="1896">+AG141/$AG$4</f>
        <v>1</v>
      </c>
      <c r="AI141" s="8">
        <f t="shared" ref="AI141" si="1897">+AB141/D141</f>
        <v>0.64535528330732672</v>
      </c>
      <c r="AJ141" s="2">
        <v>191565.3</v>
      </c>
      <c r="AK141" s="4">
        <f t="shared" ref="AK141" si="1898">((+D141+AJ141)-AB141)/D141</f>
        <v>0.36109826959649249</v>
      </c>
      <c r="AL141" s="4">
        <f t="shared" ref="AL141" si="1899">+S141/$D141</f>
        <v>0.89121611902959408</v>
      </c>
      <c r="AM141" s="4">
        <f t="shared" ref="AM141" si="1900">+T141/$D141</f>
        <v>4.4197663836642476E-2</v>
      </c>
      <c r="AN141" s="4">
        <f t="shared" ref="AN141" si="1901">+U141/$D141</f>
        <v>3.0292622987855792E-2</v>
      </c>
      <c r="AO141" s="4">
        <f t="shared" ref="AO141" si="1902">+V141/$D141</f>
        <v>5.0798257057049776E-3</v>
      </c>
      <c r="AP141" s="4">
        <f t="shared" ref="AP141" si="1903">+W141/$D141</f>
        <v>3.1835658619327827E-4</v>
      </c>
      <c r="AQ141" s="4">
        <f t="shared" ref="AQ141" si="1904">+X141/$D141</f>
        <v>8.4372917473128607E-4</v>
      </c>
      <c r="AR141" s="4">
        <f t="shared" ref="AR141" si="1905">+Y141/$D141</f>
        <v>0</v>
      </c>
    </row>
    <row r="142" spans="1:44" x14ac:dyDescent="0.25">
      <c r="A142">
        <f t="shared" si="26"/>
        <v>138</v>
      </c>
      <c r="B142" s="3">
        <f t="shared" si="90"/>
        <v>46068</v>
      </c>
      <c r="C142" s="41">
        <v>1601</v>
      </c>
      <c r="D142" s="2">
        <v>29458125.84</v>
      </c>
      <c r="E142" s="8">
        <f t="shared" ref="E142" si="1906">+D142/D$4</f>
        <v>0.39277435400995092</v>
      </c>
      <c r="F142" s="1">
        <v>68898.13</v>
      </c>
      <c r="G142" s="1"/>
      <c r="H142" s="1"/>
      <c r="I142" s="1"/>
      <c r="J142" s="1"/>
      <c r="K142" s="1"/>
      <c r="L142" s="1"/>
      <c r="M142" s="6">
        <f t="shared" ref="M142" si="1907">+F142/D141</f>
        <v>2.3210765568148881E-3</v>
      </c>
      <c r="N142" s="6">
        <f t="shared" ref="N142" si="1908">1-(+M142-1)^12</f>
        <v>2.7500087209916813E-2</v>
      </c>
      <c r="O142" s="6">
        <f t="shared" ref="O142" si="1909">AVERAGE(N140:N142)</f>
        <v>1.7067556668316868E-2</v>
      </c>
      <c r="P142" s="6">
        <f t="shared" ref="P142" si="1910">AVERAGE(N137:N142)</f>
        <v>2.4437209138618854E-2</v>
      </c>
      <c r="Q142" s="27">
        <f t="shared" ref="Q142" si="1911">AVERAGE(N131:N142)</f>
        <v>1.8403033937777979E-2</v>
      </c>
      <c r="R142" s="2">
        <v>0</v>
      </c>
      <c r="S142" s="26">
        <v>26045974</v>
      </c>
      <c r="T142" s="26">
        <v>1285323</v>
      </c>
      <c r="U142" s="26">
        <v>1015149</v>
      </c>
      <c r="V142" s="26">
        <v>242173</v>
      </c>
      <c r="W142" s="26">
        <v>106068</v>
      </c>
      <c r="X142" s="26">
        <v>16862</v>
      </c>
      <c r="Y142" s="38">
        <v>0</v>
      </c>
      <c r="Z142" s="26">
        <f t="shared" ref="Z142" si="1912">+Z141+Y142</f>
        <v>3277557.8699999992</v>
      </c>
      <c r="AA142" s="4">
        <f t="shared" ref="AA142" si="1913">+Z142/$D$4</f>
        <v>4.3700698479991293E-2</v>
      </c>
      <c r="AB142" s="2">
        <v>18924137.870000001</v>
      </c>
      <c r="AC142" s="4">
        <f t="shared" ref="AC142" si="1914">+AB142/AB$4</f>
        <v>0.27727674534798535</v>
      </c>
      <c r="AD142" s="25">
        <f t="shared" ref="AD142" si="1915">+$AD$2*AB142</f>
        <v>15596816.925824177</v>
      </c>
      <c r="AE142" s="2">
        <v>6000000</v>
      </c>
      <c r="AF142" s="8">
        <f t="shared" ref="AF142" si="1916">+AE142/$AE$4</f>
        <v>1</v>
      </c>
      <c r="AG142" s="2">
        <v>750000</v>
      </c>
      <c r="AH142" s="8">
        <f t="shared" ref="AH142" si="1917">+AG142/$AG$4</f>
        <v>1</v>
      </c>
      <c r="AI142" s="8">
        <f t="shared" ref="AI142" si="1918">+AB142/D142</f>
        <v>0.64240807350696016</v>
      </c>
      <c r="AJ142" s="2">
        <v>189243.41</v>
      </c>
      <c r="AK142" s="4">
        <f t="shared" ref="AK142" si="1919">((+D142+AJ142)-AB142)/D142</f>
        <v>0.36401607618361642</v>
      </c>
      <c r="AL142" s="4">
        <f t="shared" ref="AL142" si="1920">+S142/$D142</f>
        <v>0.88416941870189258</v>
      </c>
      <c r="AM142" s="4">
        <f t="shared" ref="AM142" si="1921">+T142/$D142</f>
        <v>4.3632205489960663E-2</v>
      </c>
      <c r="AN142" s="4">
        <f t="shared" ref="AN142" si="1922">+U142/$D142</f>
        <v>3.4460746264501664E-2</v>
      </c>
      <c r="AO142" s="4">
        <f t="shared" ref="AO142" si="1923">+V142/$D142</f>
        <v>8.2209235344891853E-3</v>
      </c>
      <c r="AP142" s="4">
        <f t="shared" ref="AP142" si="1924">+W142/$D142</f>
        <v>3.6006363940497038E-3</v>
      </c>
      <c r="AQ142" s="4">
        <f t="shared" ref="AQ142" si="1925">+X142/$D142</f>
        <v>5.7240572912156456E-4</v>
      </c>
      <c r="AR142" s="4">
        <f t="shared" ref="AR142" si="1926">+Y142/$D142</f>
        <v>0</v>
      </c>
    </row>
    <row r="143" spans="1:44" x14ac:dyDescent="0.25">
      <c r="A143">
        <f t="shared" si="26"/>
        <v>139</v>
      </c>
      <c r="B143" s="3">
        <f t="shared" si="90"/>
        <v>46096</v>
      </c>
      <c r="C143" s="41">
        <v>1596</v>
      </c>
      <c r="D143" s="2">
        <v>29251503.5</v>
      </c>
      <c r="E143" s="8">
        <f t="shared" ref="E143" si="1927">+D143/D$4</f>
        <v>0.3900193940862165</v>
      </c>
      <c r="F143" s="1">
        <v>56975.41</v>
      </c>
      <c r="G143" s="1"/>
      <c r="H143" s="1"/>
      <c r="I143" s="1"/>
      <c r="J143" s="1"/>
      <c r="K143" s="1"/>
      <c r="L143" s="1"/>
      <c r="M143" s="6">
        <f t="shared" ref="M143" si="1928">+F143/D142</f>
        <v>1.9341152356215205E-3</v>
      </c>
      <c r="N143" s="6">
        <f t="shared" ref="N143" si="1929">1-(+M143-1)^12</f>
        <v>2.2964074738028861E-2</v>
      </c>
      <c r="O143" s="6">
        <f t="shared" ref="O143" si="1930">AVERAGE(N141:N143)</f>
        <v>2.1033655517273542E-2</v>
      </c>
      <c r="P143" s="6">
        <f t="shared" ref="P143" si="1931">AVERAGE(N138:N143)</f>
        <v>2.1437484787528622E-2</v>
      </c>
      <c r="Q143" s="27">
        <f t="shared" ref="Q143" si="1932">AVERAGE(N132:N143)</f>
        <v>1.9267111073716203E-2</v>
      </c>
      <c r="R143" s="2">
        <v>0</v>
      </c>
      <c r="S143" s="26">
        <v>25728768</v>
      </c>
      <c r="T143" s="26">
        <v>1381131</v>
      </c>
      <c r="U143" s="26">
        <v>1067247</v>
      </c>
      <c r="V143" s="26">
        <v>218628</v>
      </c>
      <c r="W143" s="26">
        <v>64684</v>
      </c>
      <c r="X143" s="26">
        <v>45589</v>
      </c>
      <c r="Y143" s="38">
        <v>0</v>
      </c>
      <c r="Z143" s="26">
        <f t="shared" ref="Z143" si="1933">+Z142+Y143</f>
        <v>3277557.8699999992</v>
      </c>
      <c r="AA143" s="4">
        <f t="shared" ref="AA143" si="1934">+Z143/$D$4</f>
        <v>4.3700698479991293E-2</v>
      </c>
      <c r="AB143" s="2">
        <v>18750934.059999999</v>
      </c>
      <c r="AC143" s="4">
        <f t="shared" ref="AC143" si="1935">+AB143/AB$4</f>
        <v>0.27473896058608055</v>
      </c>
      <c r="AD143" s="25">
        <f t="shared" ref="AD143" si="1936">+$AD$2*AB143</f>
        <v>15454066.532967031</v>
      </c>
      <c r="AE143" s="2">
        <v>6000000</v>
      </c>
      <c r="AF143" s="8">
        <f t="shared" ref="AF143" si="1937">+AE143/$AE$4</f>
        <v>1</v>
      </c>
      <c r="AG143" s="2">
        <v>750000</v>
      </c>
      <c r="AH143" s="8">
        <f t="shared" ref="AH143" si="1938">+AG143/$AG$4</f>
        <v>1</v>
      </c>
      <c r="AI143" s="8">
        <f t="shared" ref="AI143" si="1939">+AB143/D143</f>
        <v>0.64102462493936418</v>
      </c>
      <c r="AJ143" s="2">
        <v>187372.13</v>
      </c>
      <c r="AK143" s="4">
        <f t="shared" ref="AK143" si="1940">((+D143+AJ143)-AB143)/D143</f>
        <v>0.36538093059045668</v>
      </c>
      <c r="AL143" s="4">
        <f t="shared" ref="AL143" si="1941">+S143/$D143</f>
        <v>0.87957078855792836</v>
      </c>
      <c r="AM143" s="4">
        <f t="shared" ref="AM143" si="1942">+T143/$D143</f>
        <v>4.7215726877081719E-2</v>
      </c>
      <c r="AN143" s="4">
        <f t="shared" ref="AN143" si="1943">+U143/$D143</f>
        <v>3.648520152135086E-2</v>
      </c>
      <c r="AO143" s="4">
        <f t="shared" ref="AO143" si="1944">+V143/$D143</f>
        <v>7.4740773581091309E-3</v>
      </c>
      <c r="AP143" s="4">
        <f t="shared" ref="AP143" si="1945">+W143/$D143</f>
        <v>2.2113051385546727E-3</v>
      </c>
      <c r="AQ143" s="4">
        <f t="shared" ref="AQ143" si="1946">+X143/$D143</f>
        <v>1.5585181800996997E-3</v>
      </c>
      <c r="AR143" s="4">
        <f t="shared" ref="AR143" si="1947">+Y143/$D143</f>
        <v>0</v>
      </c>
    </row>
    <row r="144" spans="1:44" x14ac:dyDescent="0.25">
      <c r="A144">
        <f t="shared" si="26"/>
        <v>140</v>
      </c>
      <c r="B144" s="3">
        <f t="shared" si="90"/>
        <v>46127</v>
      </c>
      <c r="C144" s="41">
        <v>1590</v>
      </c>
      <c r="D144" s="2">
        <v>29050984.23</v>
      </c>
      <c r="E144" s="8">
        <f t="shared" ref="E144" si="1948">+D144/D$4</f>
        <v>0.38734580829299359</v>
      </c>
      <c r="F144" s="1">
        <v>29111.54</v>
      </c>
      <c r="G144" s="1"/>
      <c r="H144" s="1"/>
      <c r="I144" s="1"/>
      <c r="J144" s="1"/>
      <c r="K144" s="1"/>
      <c r="L144" s="1"/>
      <c r="M144" s="6">
        <f t="shared" ref="M144" si="1949">+F144/D143</f>
        <v>9.9521516902541436E-4</v>
      </c>
      <c r="N144" s="6">
        <f t="shared" ref="N144" si="1950">1-(+M144-1)^12</f>
        <v>1.1877428487226283E-2</v>
      </c>
      <c r="O144" s="6">
        <f t="shared" ref="O144" si="1951">AVERAGE(N142:N144)</f>
        <v>2.0780530145057319E-2</v>
      </c>
      <c r="P144" s="6">
        <f t="shared" ref="P144" si="1952">AVERAGE(N139:N144)</f>
        <v>1.8166708095489963E-2</v>
      </c>
      <c r="Q144" s="27">
        <f t="shared" ref="Q144" si="1953">AVERAGE(N133:N144)</f>
        <v>1.9844447068999998E-2</v>
      </c>
      <c r="R144" s="2">
        <v>0</v>
      </c>
      <c r="S144" s="26">
        <v>25494149</v>
      </c>
      <c r="T144" s="26">
        <v>1753915</v>
      </c>
      <c r="U144" s="26">
        <v>711426</v>
      </c>
      <c r="V144" s="26">
        <v>290552</v>
      </c>
      <c r="W144" s="26">
        <v>29832</v>
      </c>
      <c r="X144" s="26">
        <v>26449</v>
      </c>
      <c r="Y144" s="38">
        <v>193.85</v>
      </c>
      <c r="Z144" s="26">
        <f t="shared" ref="Z144" si="1954">+Z143+Y144</f>
        <v>3277751.7199999993</v>
      </c>
      <c r="AA144" s="4">
        <f t="shared" ref="AA144" si="1955">+Z144/$D$4</f>
        <v>4.3703283142333307E-2</v>
      </c>
      <c r="AB144" s="2">
        <v>18555278.870000001</v>
      </c>
      <c r="AC144" s="4">
        <f t="shared" ref="AC144" si="1956">+AB144/AB$4</f>
        <v>0.2718722178754579</v>
      </c>
      <c r="AD144" s="25">
        <f t="shared" ref="AD144" si="1957">+$AD$2*AB144</f>
        <v>15292812.255494505</v>
      </c>
      <c r="AE144" s="2">
        <v>6000000</v>
      </c>
      <c r="AF144" s="8">
        <f t="shared" ref="AF144" si="1958">+AE144/$AE$4</f>
        <v>1</v>
      </c>
      <c r="AG144" s="2">
        <v>750000</v>
      </c>
      <c r="AH144" s="8">
        <f t="shared" ref="AH144" si="1959">+AG144/$AG$4</f>
        <v>1</v>
      </c>
      <c r="AI144" s="8">
        <f t="shared" ref="AI144" si="1960">+AB144/D144</f>
        <v>0.63871429357076903</v>
      </c>
      <c r="AJ144" s="2">
        <v>185416.03</v>
      </c>
      <c r="AK144" s="4">
        <f t="shared" ref="AK144" si="1961">((+D144+AJ144)-AB144)/D144</f>
        <v>0.36766814182391644</v>
      </c>
      <c r="AL144" s="4">
        <f t="shared" ref="AL144" si="1962">+S144/$D144</f>
        <v>0.87756575812233673</v>
      </c>
      <c r="AM144" s="4">
        <f t="shared" ref="AM144" si="1963">+T144/$D144</f>
        <v>6.0373686003684153E-2</v>
      </c>
      <c r="AN144" s="4">
        <f t="shared" ref="AN144" si="1964">+U144/$D144</f>
        <v>2.4488877704368226E-2</v>
      </c>
      <c r="AO144" s="4">
        <f t="shared" ref="AO144" si="1965">+V144/$D144</f>
        <v>1.0001451162537773E-2</v>
      </c>
      <c r="AP144" s="4">
        <f t="shared" ref="AP144" si="1966">+W144/$D144</f>
        <v>1.026884313585268E-3</v>
      </c>
      <c r="AQ144" s="4">
        <f t="shared" ref="AQ144" si="1967">+X144/$D144</f>
        <v>9.1043387000592504E-4</v>
      </c>
      <c r="AR144" s="4">
        <f t="shared" ref="AR144" si="1968">+Y144/$D144</f>
        <v>6.672751548287216E-6</v>
      </c>
    </row>
    <row r="145" spans="1:44" x14ac:dyDescent="0.25">
      <c r="A145">
        <f t="shared" si="26"/>
        <v>141</v>
      </c>
      <c r="B145" s="3">
        <f t="shared" si="90"/>
        <v>46157</v>
      </c>
      <c r="C145" s="41">
        <v>1585</v>
      </c>
      <c r="D145" s="2">
        <v>28878181.539999999</v>
      </c>
      <c r="E145" s="8">
        <f t="shared" ref="E145" si="1969">+D145/D$4</f>
        <v>0.38504177628143327</v>
      </c>
      <c r="F145" s="1">
        <v>43727.88</v>
      </c>
      <c r="G145" s="1"/>
      <c r="H145" s="1"/>
      <c r="I145" s="1"/>
      <c r="J145" s="1"/>
      <c r="K145" s="1"/>
      <c r="L145" s="1"/>
      <c r="M145" s="6">
        <f t="shared" ref="M145" si="1970">+F145/D144</f>
        <v>1.5052116532025667E-3</v>
      </c>
      <c r="N145" s="6">
        <f t="shared" ref="N145" si="1971">1-(+M145-1)^12</f>
        <v>1.7913753869837956E-2</v>
      </c>
      <c r="O145" s="6">
        <f t="shared" ref="O145" si="1972">AVERAGE(N143:N145)</f>
        <v>1.7585085698364367E-2</v>
      </c>
      <c r="P145" s="6">
        <f t="shared" ref="P145" si="1973">AVERAGE(N140:N145)</f>
        <v>1.7326321183340616E-2</v>
      </c>
      <c r="Q145" s="27">
        <f t="shared" ref="Q145" si="1974">AVERAGE(N134:N145)</f>
        <v>2.0718733996554911E-2</v>
      </c>
      <c r="R145" s="2">
        <v>0</v>
      </c>
      <c r="S145" s="26">
        <v>25361644</v>
      </c>
      <c r="T145" s="26">
        <v>1531653</v>
      </c>
      <c r="U145" s="26">
        <v>856291</v>
      </c>
      <c r="V145" s="26">
        <v>199801</v>
      </c>
      <c r="W145" s="26">
        <v>72232</v>
      </c>
      <c r="X145" s="26">
        <v>93256</v>
      </c>
      <c r="Y145" s="38">
        <v>19568.95</v>
      </c>
      <c r="Z145" s="26">
        <f t="shared" ref="Z145" si="1975">+Z144+Y145</f>
        <v>3297320.6699999995</v>
      </c>
      <c r="AA145" s="4">
        <f t="shared" ref="AA145" si="1976">+Z145/$D$4</f>
        <v>4.3964202039097143E-2</v>
      </c>
      <c r="AB145" s="2">
        <v>18390891.710000001</v>
      </c>
      <c r="AC145" s="4">
        <f t="shared" ref="AC145" si="1977">+AB145/AB$4</f>
        <v>0.26946361479853481</v>
      </c>
      <c r="AD145" s="25">
        <f>+$AD$2*AB145</f>
        <v>15157328.332417583</v>
      </c>
      <c r="AE145" s="2">
        <v>6000000</v>
      </c>
      <c r="AF145" s="8">
        <f t="shared" ref="AF145" si="1978">+AE145/$AE$4</f>
        <v>1</v>
      </c>
      <c r="AG145" s="2">
        <v>750000</v>
      </c>
      <c r="AH145" s="8">
        <f t="shared" ref="AH145" si="1979">+AG145/$AG$4</f>
        <v>1</v>
      </c>
      <c r="AI145" s="8">
        <f t="shared" ref="AI145" si="1980">+AB145/D145</f>
        <v>0.63684382912152027</v>
      </c>
      <c r="AJ145" s="2">
        <v>183770.08</v>
      </c>
      <c r="AK145" s="4">
        <f t="shared" ref="AK145" si="1981">((+D145+AJ145)-AB145)/D145</f>
        <v>0.36951980148816521</v>
      </c>
      <c r="AL145" s="4">
        <f t="shared" ref="AL145" si="1982">+S145/$D145</f>
        <v>0.87822856729641574</v>
      </c>
      <c r="AM145" s="4">
        <f t="shared" ref="AM145" si="1983">+T145/$D145</f>
        <v>5.3038415797700536E-2</v>
      </c>
      <c r="AN145" s="4">
        <f t="shared" ref="AN145" si="1984">+U145/$D145</f>
        <v>2.9651832433213524E-2</v>
      </c>
      <c r="AO145" s="4">
        <f t="shared" ref="AO145" si="1985">+V145/$D145</f>
        <v>6.918752821165346E-3</v>
      </c>
      <c r="AP145" s="4">
        <f t="shared" ref="AP145" si="1986">+W145/$D145</f>
        <v>2.5012655280925284E-3</v>
      </c>
      <c r="AQ145" s="4">
        <f t="shared" ref="AQ145" si="1987">+X145/$D145</f>
        <v>3.2292892082151515E-3</v>
      </c>
      <c r="AR145" s="4">
        <f t="shared" ref="AR145" si="1988">+Y145/$D145</f>
        <v>6.7763788979906801E-4</v>
      </c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S118"/>
  <sheetViews>
    <sheetView showGridLines="0" workbookViewId="0">
      <pane xSplit="2" ySplit="3" topLeftCell="AE110" activePane="bottomRight" state="frozen"/>
      <selection pane="topRight" activeCell="C1" sqref="C1"/>
      <selection pane="bottomLeft" activeCell="A2" sqref="A2"/>
      <selection pane="bottomRight" activeCell="AQ128" sqref="AQ128"/>
    </sheetView>
  </sheetViews>
  <sheetFormatPr baseColWidth="10" defaultColWidth="9.140625" defaultRowHeight="15" x14ac:dyDescent="0.25"/>
  <cols>
    <col min="4" max="4" width="14.28515625" bestFit="1" customWidth="1"/>
    <col min="7" max="7" width="11.5703125" bestFit="1" customWidth="1"/>
    <col min="8" max="8" width="15.28515625" hidden="1" customWidth="1"/>
    <col min="9" max="11" width="11.5703125" hidden="1" customWidth="1"/>
    <col min="12" max="12" width="12.5703125" hidden="1" customWidth="1"/>
    <col min="13" max="13" width="14.42578125" hidden="1" customWidth="1"/>
    <col min="16" max="18" width="10.85546875" bestFit="1" customWidth="1"/>
    <col min="19" max="19" width="14.28515625" bestFit="1" customWidth="1"/>
    <col min="20" max="23" width="11.5703125" bestFit="1" customWidth="1"/>
    <col min="24" max="25" width="10.5703125" bestFit="1" customWidth="1"/>
    <col min="26" max="26" width="9.42578125" bestFit="1" customWidth="1"/>
    <col min="28" max="28" width="14.28515625" bestFit="1" customWidth="1"/>
    <col min="30" max="30" width="14.28515625" bestFit="1" customWidth="1"/>
    <col min="31" max="31" width="15.140625" bestFit="1" customWidth="1"/>
    <col min="33" max="33" width="13.28515625" bestFit="1" customWidth="1"/>
    <col min="36" max="36" width="11.5703125" bestFit="1" customWidth="1"/>
  </cols>
  <sheetData>
    <row r="1" spans="1:45" x14ac:dyDescent="0.25">
      <c r="G1" s="35" t="s">
        <v>50</v>
      </c>
      <c r="H1" s="35" t="s">
        <v>52</v>
      </c>
      <c r="I1" s="35" t="s">
        <v>52</v>
      </c>
      <c r="J1" s="35" t="s">
        <v>46</v>
      </c>
      <c r="K1" s="35" t="s">
        <v>46</v>
      </c>
      <c r="M1" s="35" t="s">
        <v>20</v>
      </c>
      <c r="P1" s="10"/>
      <c r="Q1" s="10"/>
      <c r="R1" s="10"/>
    </row>
    <row r="2" spans="1:45" s="29" customFormat="1" x14ac:dyDescent="0.25">
      <c r="B2" s="24" t="s">
        <v>32</v>
      </c>
      <c r="G2" s="24" t="s">
        <v>51</v>
      </c>
      <c r="H2" s="24" t="s">
        <v>53</v>
      </c>
      <c r="I2" s="24" t="s">
        <v>55</v>
      </c>
      <c r="J2" s="24" t="s">
        <v>57</v>
      </c>
      <c r="K2" s="24" t="s">
        <v>35</v>
      </c>
      <c r="L2" s="24" t="s">
        <v>38</v>
      </c>
      <c r="M2" s="35" t="s">
        <v>59</v>
      </c>
      <c r="P2" s="24" t="s">
        <v>43</v>
      </c>
      <c r="Q2" s="24" t="s">
        <v>47</v>
      </c>
      <c r="R2" s="24" t="s">
        <v>48</v>
      </c>
      <c r="Y2"/>
      <c r="Z2" s="24" t="s">
        <v>40</v>
      </c>
      <c r="AD2" s="29">
        <f>33.75/39.6</f>
        <v>0.85227272727272729</v>
      </c>
      <c r="AK2" s="24" t="s">
        <v>21</v>
      </c>
    </row>
    <row r="3" spans="1:45" s="29" customFormat="1" ht="12.75" x14ac:dyDescent="0.2">
      <c r="A3" s="28" t="s">
        <v>17</v>
      </c>
      <c r="B3" s="28" t="s">
        <v>33</v>
      </c>
      <c r="C3" s="28" t="s">
        <v>0</v>
      </c>
      <c r="D3" s="28" t="s">
        <v>18</v>
      </c>
      <c r="E3" s="28" t="s">
        <v>26</v>
      </c>
      <c r="F3" s="28" t="s">
        <v>6</v>
      </c>
      <c r="G3" s="28" t="s">
        <v>36</v>
      </c>
      <c r="H3" s="28" t="s">
        <v>54</v>
      </c>
      <c r="I3" s="28" t="s">
        <v>56</v>
      </c>
      <c r="J3" s="28" t="s">
        <v>58</v>
      </c>
      <c r="K3" s="28" t="s">
        <v>37</v>
      </c>
      <c r="L3" s="28" t="s">
        <v>39</v>
      </c>
      <c r="M3" s="30" t="s">
        <v>35</v>
      </c>
      <c r="N3" s="28" t="s">
        <v>60</v>
      </c>
      <c r="O3" s="28" t="s">
        <v>61</v>
      </c>
      <c r="P3" s="28" t="s">
        <v>44</v>
      </c>
      <c r="Q3" s="28" t="s">
        <v>44</v>
      </c>
      <c r="R3" s="28" t="s">
        <v>44</v>
      </c>
      <c r="S3" s="28" t="s">
        <v>9</v>
      </c>
      <c r="T3" s="28" t="s">
        <v>10</v>
      </c>
      <c r="U3" s="28" t="s">
        <v>11</v>
      </c>
      <c r="V3" s="28" t="s">
        <v>12</v>
      </c>
      <c r="W3" s="28" t="s">
        <v>13</v>
      </c>
      <c r="X3" s="28" t="s">
        <v>14</v>
      </c>
      <c r="Y3" s="24" t="s">
        <v>15</v>
      </c>
      <c r="Z3" s="28" t="s">
        <v>41</v>
      </c>
      <c r="AA3" s="28" t="s">
        <v>16</v>
      </c>
      <c r="AB3" s="28" t="s">
        <v>1</v>
      </c>
      <c r="AC3" s="28" t="s">
        <v>3</v>
      </c>
      <c r="AD3" s="28" t="s">
        <v>29</v>
      </c>
      <c r="AE3" s="28" t="s">
        <v>2</v>
      </c>
      <c r="AF3" s="28" t="s">
        <v>4</v>
      </c>
      <c r="AG3" s="28" t="s">
        <v>27</v>
      </c>
      <c r="AH3" s="28" t="s">
        <v>28</v>
      </c>
      <c r="AI3" s="28" t="s">
        <v>5</v>
      </c>
      <c r="AJ3" s="28" t="s">
        <v>7</v>
      </c>
      <c r="AK3" s="28" t="s">
        <v>22</v>
      </c>
      <c r="AL3" s="28" t="s">
        <v>9</v>
      </c>
      <c r="AM3" s="28" t="s">
        <v>10</v>
      </c>
      <c r="AN3" s="28" t="s">
        <v>11</v>
      </c>
      <c r="AO3" s="28" t="s">
        <v>12</v>
      </c>
      <c r="AP3" s="28" t="s">
        <v>13</v>
      </c>
      <c r="AQ3" s="28" t="s">
        <v>14</v>
      </c>
      <c r="AR3" s="28" t="s">
        <v>19</v>
      </c>
    </row>
    <row r="4" spans="1:45" x14ac:dyDescent="0.25">
      <c r="A4">
        <v>0</v>
      </c>
      <c r="B4" s="3"/>
      <c r="C4">
        <v>1275</v>
      </c>
      <c r="D4" s="2">
        <v>45000020.909999996</v>
      </c>
      <c r="E4" s="2"/>
      <c r="F4" s="8">
        <f>+D4/D$4</f>
        <v>1</v>
      </c>
      <c r="AB4" s="2">
        <v>39600000</v>
      </c>
      <c r="AC4" s="8">
        <f>+AB4/$AB$4</f>
        <v>1</v>
      </c>
      <c r="AD4" s="2">
        <f>+AB4*$AD$2</f>
        <v>33750000</v>
      </c>
      <c r="AE4" s="2">
        <v>4500000</v>
      </c>
      <c r="AF4" s="8">
        <f t="shared" ref="AF4:AF10" si="0">+AE4/$AE$4</f>
        <v>1</v>
      </c>
      <c r="AG4" s="2">
        <v>900000</v>
      </c>
      <c r="AH4" s="8">
        <f t="shared" ref="AH4:AH10" si="1">+AG4/$AG$4</f>
        <v>1</v>
      </c>
      <c r="AI4" s="8">
        <f t="shared" ref="AI4:AI34" si="2">+AB4/D4</f>
        <v>0.87999959109352344</v>
      </c>
      <c r="AJ4" s="2">
        <v>420750</v>
      </c>
      <c r="AK4" s="4">
        <f t="shared" ref="AK4:AK34" si="3">((+D4+AJ4)-AB4)/D4</f>
        <v>0.12935040456184527</v>
      </c>
      <c r="AL4" s="4"/>
      <c r="AM4" s="4"/>
      <c r="AN4" s="4"/>
      <c r="AO4" s="4"/>
      <c r="AP4" s="4"/>
      <c r="AQ4" s="4"/>
      <c r="AR4" s="4"/>
    </row>
    <row r="5" spans="1:45" x14ac:dyDescent="0.25">
      <c r="A5">
        <f>+A4+1</f>
        <v>1</v>
      </c>
      <c r="B5" s="3">
        <v>42675</v>
      </c>
      <c r="C5">
        <v>1267</v>
      </c>
      <c r="D5" s="2">
        <v>44590259.039999999</v>
      </c>
      <c r="E5" s="2">
        <v>7.49</v>
      </c>
      <c r="F5" s="8">
        <f>+D5/D$4</f>
        <v>0.99089418489783543</v>
      </c>
      <c r="G5" s="2">
        <v>107130.14</v>
      </c>
      <c r="H5" s="2"/>
      <c r="I5" s="2"/>
      <c r="J5" s="2"/>
      <c r="K5" s="2"/>
      <c r="L5" s="2"/>
      <c r="M5" s="2"/>
      <c r="N5" s="6">
        <f t="shared" ref="N5:N32" si="4">+G5/D4</f>
        <v>2.3806686715604018E-3</v>
      </c>
      <c r="O5" s="6">
        <f t="shared" ref="O5:O10" si="5">1-(+N5-1)^12</f>
        <v>2.8196916099984981E-2</v>
      </c>
      <c r="S5" s="26">
        <v>44424603.850000001</v>
      </c>
      <c r="T5" s="26">
        <v>165655.19</v>
      </c>
      <c r="U5" s="26">
        <v>0</v>
      </c>
      <c r="V5" s="26">
        <v>0</v>
      </c>
      <c r="W5" s="26">
        <v>0</v>
      </c>
      <c r="X5" s="26">
        <v>0</v>
      </c>
      <c r="Y5" s="26">
        <v>0</v>
      </c>
      <c r="Z5" s="26">
        <f>+Z4+Y5</f>
        <v>0</v>
      </c>
      <c r="AA5" s="4">
        <f t="shared" ref="AA5:AA10" si="6">+Z5/$D$4</f>
        <v>0</v>
      </c>
      <c r="AB5" s="2">
        <v>39226376.649999999</v>
      </c>
      <c r="AC5" s="4">
        <f t="shared" ref="AC5" si="7">+AB5/AB$4</f>
        <v>0.99056506691919188</v>
      </c>
      <c r="AD5" s="2">
        <f t="shared" ref="AD5:AD34" si="8">+AB5*$AD$2</f>
        <v>33431571.008522727</v>
      </c>
      <c r="AE5" s="2">
        <v>4500000</v>
      </c>
      <c r="AF5" s="8">
        <f t="shared" si="0"/>
        <v>1</v>
      </c>
      <c r="AG5" s="2">
        <v>900000</v>
      </c>
      <c r="AH5" s="8">
        <f t="shared" si="1"/>
        <v>1</v>
      </c>
      <c r="AI5" s="8">
        <f t="shared" si="2"/>
        <v>0.87970730591207613</v>
      </c>
      <c r="AJ5" s="2">
        <v>420750</v>
      </c>
      <c r="AK5" s="4">
        <f t="shared" si="3"/>
        <v>0.1297286114622222</v>
      </c>
      <c r="AL5" s="4">
        <f t="shared" ref="AL5:AL29" si="9">+S5/$D5</f>
        <v>0.99628494667744816</v>
      </c>
      <c r="AM5" s="4">
        <f t="shared" ref="AM5:AM29" si="10">+T5/$D5</f>
        <v>3.7150533225518575E-3</v>
      </c>
      <c r="AN5" s="4">
        <f t="shared" ref="AN5:AN29" si="11">+U5/$D5</f>
        <v>0</v>
      </c>
      <c r="AO5" s="4">
        <f t="shared" ref="AO5:AO29" si="12">+V5/$D5</f>
        <v>0</v>
      </c>
      <c r="AP5" s="4">
        <f t="shared" ref="AP5:AP29" si="13">+W5/$D5</f>
        <v>0</v>
      </c>
      <c r="AQ5" s="4">
        <f t="shared" ref="AQ5:AQ29" si="14">+X5/$D5</f>
        <v>0</v>
      </c>
      <c r="AR5" s="4">
        <f t="shared" ref="AR5:AR29" si="15">+Y5/$D5</f>
        <v>0</v>
      </c>
    </row>
    <row r="6" spans="1:45" x14ac:dyDescent="0.25">
      <c r="A6">
        <f t="shared" ref="A6:A118" si="16">+A5+1</f>
        <v>2</v>
      </c>
      <c r="B6" s="3">
        <v>42705</v>
      </c>
      <c r="C6">
        <v>1263</v>
      </c>
      <c r="D6" s="2">
        <v>44318741.380000003</v>
      </c>
      <c r="E6" s="2">
        <v>7.49</v>
      </c>
      <c r="F6" s="8">
        <f t="shared" ref="F6:F23" si="17">+D6/D$4</f>
        <v>0.98486046192372767</v>
      </c>
      <c r="G6" s="1">
        <v>187437.81</v>
      </c>
      <c r="H6" s="1"/>
      <c r="I6" s="1"/>
      <c r="J6" s="1"/>
      <c r="K6" s="1"/>
      <c r="L6" s="1"/>
      <c r="M6" s="1"/>
      <c r="N6" s="6">
        <f t="shared" si="4"/>
        <v>4.2035595673902146E-3</v>
      </c>
      <c r="O6" s="6">
        <f t="shared" si="5"/>
        <v>4.9292687867911966E-2</v>
      </c>
      <c r="P6" s="27"/>
      <c r="S6" s="26">
        <v>44034429.130000003</v>
      </c>
      <c r="T6" s="26">
        <v>126733.48</v>
      </c>
      <c r="U6" s="26">
        <v>58825.53</v>
      </c>
      <c r="V6" s="26">
        <v>0</v>
      </c>
      <c r="W6" s="26">
        <v>0</v>
      </c>
      <c r="X6" s="26">
        <v>0</v>
      </c>
      <c r="Y6" s="26">
        <v>0</v>
      </c>
      <c r="Z6" s="26">
        <f t="shared" ref="Z6:Z10" si="18">+Z5+Y6</f>
        <v>0</v>
      </c>
      <c r="AA6" s="4">
        <f t="shared" si="6"/>
        <v>0</v>
      </c>
      <c r="AB6" s="2">
        <v>38918670.299999997</v>
      </c>
      <c r="AC6" s="4">
        <f t="shared" ref="AC6:AC10" si="19">+AB6/AB$4</f>
        <v>0.98279470454545448</v>
      </c>
      <c r="AD6" s="2">
        <f t="shared" si="8"/>
        <v>33169321.27840909</v>
      </c>
      <c r="AE6" s="2">
        <v>4500000</v>
      </c>
      <c r="AF6" s="8">
        <f t="shared" si="0"/>
        <v>1</v>
      </c>
      <c r="AG6" s="2">
        <v>900000</v>
      </c>
      <c r="AH6" s="8">
        <f t="shared" si="1"/>
        <v>1</v>
      </c>
      <c r="AI6" s="8">
        <f t="shared" si="2"/>
        <v>0.87815378072905004</v>
      </c>
      <c r="AJ6" s="2">
        <v>420750</v>
      </c>
      <c r="AK6" s="4">
        <f t="shared" si="3"/>
        <v>0.1313399455569107</v>
      </c>
      <c r="AL6" s="4">
        <f t="shared" si="9"/>
        <v>0.99358483022876853</v>
      </c>
      <c r="AM6" s="4">
        <f t="shared" si="10"/>
        <v>2.8595911357986309E-3</v>
      </c>
      <c r="AN6" s="4">
        <f t="shared" si="11"/>
        <v>1.3273285334440153E-3</v>
      </c>
      <c r="AO6" s="4">
        <f t="shared" si="12"/>
        <v>0</v>
      </c>
      <c r="AP6" s="4">
        <f t="shared" si="13"/>
        <v>0</v>
      </c>
      <c r="AQ6" s="4">
        <f t="shared" si="14"/>
        <v>0</v>
      </c>
      <c r="AR6" s="4">
        <f t="shared" si="15"/>
        <v>0</v>
      </c>
    </row>
    <row r="7" spans="1:45" x14ac:dyDescent="0.25">
      <c r="A7">
        <f t="shared" si="16"/>
        <v>3</v>
      </c>
      <c r="B7" s="3">
        <v>42736</v>
      </c>
      <c r="C7">
        <v>1259</v>
      </c>
      <c r="D7" s="2">
        <v>44134751.700000003</v>
      </c>
      <c r="E7" s="2">
        <v>7.49</v>
      </c>
      <c r="F7" s="8">
        <f t="shared" si="17"/>
        <v>0.98077180426803512</v>
      </c>
      <c r="G7" s="2">
        <v>83610.87</v>
      </c>
      <c r="H7" s="2"/>
      <c r="I7" s="2"/>
      <c r="J7" s="2"/>
      <c r="K7" s="2"/>
      <c r="L7" s="2"/>
      <c r="M7" s="2"/>
      <c r="N7" s="6">
        <f t="shared" si="4"/>
        <v>1.8865804261700356E-3</v>
      </c>
      <c r="O7" s="6">
        <f t="shared" si="5"/>
        <v>2.2405529837692284E-2</v>
      </c>
      <c r="P7" s="27">
        <f t="shared" ref="P7:P10" si="20">AVERAGE(O5:O7)</f>
        <v>3.329837793519641E-2</v>
      </c>
      <c r="Q7" s="27"/>
      <c r="R7" s="27"/>
      <c r="S7" s="26">
        <v>43807183.609999999</v>
      </c>
      <c r="T7" s="26">
        <v>95316.479999999996</v>
      </c>
      <c r="U7" s="26">
        <v>14658.06</v>
      </c>
      <c r="V7" s="26">
        <v>14959</v>
      </c>
      <c r="W7" s="26">
        <v>0</v>
      </c>
      <c r="X7" s="26">
        <v>0</v>
      </c>
      <c r="Y7" s="26">
        <v>0</v>
      </c>
      <c r="Z7" s="26">
        <f t="shared" si="18"/>
        <v>0</v>
      </c>
      <c r="AA7" s="4">
        <f t="shared" si="6"/>
        <v>0</v>
      </c>
      <c r="AB7" s="2">
        <v>38734680.619999997</v>
      </c>
      <c r="AC7" s="4">
        <f t="shared" si="19"/>
        <v>0.97814850050505042</v>
      </c>
      <c r="AD7" s="2">
        <f t="shared" si="8"/>
        <v>33012511.892045453</v>
      </c>
      <c r="AE7" s="2">
        <v>4459268.8600000003</v>
      </c>
      <c r="AF7" s="8">
        <f t="shared" si="0"/>
        <v>0.99094863555555568</v>
      </c>
      <c r="AG7" s="2">
        <v>900000</v>
      </c>
      <c r="AH7" s="8">
        <f t="shared" si="1"/>
        <v>1</v>
      </c>
      <c r="AI7" s="8">
        <f t="shared" si="2"/>
        <v>0.87764582620275611</v>
      </c>
      <c r="AJ7" s="2">
        <v>420750</v>
      </c>
      <c r="AK7" s="4">
        <f t="shared" si="3"/>
        <v>0.13188747768575312</v>
      </c>
      <c r="AL7" s="4">
        <f t="shared" si="9"/>
        <v>0.99257800084100156</v>
      </c>
      <c r="AM7" s="4">
        <f t="shared" si="10"/>
        <v>2.1596695648794144E-3</v>
      </c>
      <c r="AN7" s="4">
        <f t="shared" si="11"/>
        <v>3.3212059511824552E-4</v>
      </c>
      <c r="AO7" s="4">
        <f t="shared" si="12"/>
        <v>3.3893925815379626E-4</v>
      </c>
      <c r="AP7" s="4">
        <f t="shared" si="13"/>
        <v>0</v>
      </c>
      <c r="AQ7" s="4">
        <f t="shared" si="14"/>
        <v>0</v>
      </c>
      <c r="AR7" s="4">
        <f t="shared" si="15"/>
        <v>0</v>
      </c>
    </row>
    <row r="8" spans="1:45" x14ac:dyDescent="0.25">
      <c r="A8">
        <f t="shared" si="16"/>
        <v>4</v>
      </c>
      <c r="B8" s="3">
        <v>42767</v>
      </c>
      <c r="C8">
        <v>1251</v>
      </c>
      <c r="D8" s="2">
        <v>43865716.409999996</v>
      </c>
      <c r="E8" s="2">
        <v>7.49</v>
      </c>
      <c r="F8" s="8">
        <f t="shared" si="17"/>
        <v>0.97479324504607212</v>
      </c>
      <c r="G8" s="2">
        <v>53729.34</v>
      </c>
      <c r="H8" s="2"/>
      <c r="I8" s="2"/>
      <c r="J8" s="2"/>
      <c r="K8" s="2"/>
      <c r="L8" s="2"/>
      <c r="M8" s="2"/>
      <c r="N8" s="6">
        <f t="shared" si="4"/>
        <v>1.2173930503839221E-3</v>
      </c>
      <c r="O8" s="6">
        <f t="shared" si="5"/>
        <v>1.4511297425199077E-2</v>
      </c>
      <c r="P8" s="27">
        <f t="shared" si="20"/>
        <v>2.8736505043601108E-2</v>
      </c>
      <c r="Q8" s="27"/>
      <c r="R8" s="27"/>
      <c r="S8" s="26">
        <v>43330042.770000003</v>
      </c>
      <c r="T8" s="26">
        <v>216157.4</v>
      </c>
      <c r="U8" s="26">
        <v>24318.79</v>
      </c>
      <c r="V8" s="26">
        <v>14959</v>
      </c>
      <c r="W8" s="26">
        <v>0</v>
      </c>
      <c r="X8" s="26">
        <v>0</v>
      </c>
      <c r="Y8" s="26">
        <v>0</v>
      </c>
      <c r="Z8" s="26">
        <f t="shared" si="18"/>
        <v>0</v>
      </c>
      <c r="AA8" s="4">
        <f t="shared" si="6"/>
        <v>0</v>
      </c>
      <c r="AB8" s="2">
        <v>38465645.329999998</v>
      </c>
      <c r="AC8" s="4">
        <f t="shared" si="19"/>
        <v>0.97135468005050496</v>
      </c>
      <c r="AD8" s="2">
        <f t="shared" si="8"/>
        <v>32783220.451704543</v>
      </c>
      <c r="AE8" s="2">
        <v>4410137.8499999996</v>
      </c>
      <c r="AF8" s="8">
        <f t="shared" si="0"/>
        <v>0.98003063333333329</v>
      </c>
      <c r="AG8" s="2">
        <v>900000</v>
      </c>
      <c r="AH8" s="8">
        <f t="shared" si="1"/>
        <v>1</v>
      </c>
      <c r="AI8" s="8">
        <f t="shared" si="2"/>
        <v>0.87689540894471851</v>
      </c>
      <c r="AJ8" s="2">
        <v>387346.81</v>
      </c>
      <c r="AK8" s="4">
        <f t="shared" si="3"/>
        <v>0.13193487679322735</v>
      </c>
      <c r="AL8" s="4">
        <f t="shared" si="9"/>
        <v>0.98778833029892388</v>
      </c>
      <c r="AM8" s="4">
        <f t="shared" si="10"/>
        <v>4.9277070498436664E-3</v>
      </c>
      <c r="AN8" s="4">
        <f t="shared" si="11"/>
        <v>5.543917206936597E-4</v>
      </c>
      <c r="AO8" s="4">
        <f t="shared" si="12"/>
        <v>3.4101802556198125E-4</v>
      </c>
      <c r="AP8" s="4">
        <f t="shared" si="13"/>
        <v>0</v>
      </c>
      <c r="AQ8" s="4">
        <f t="shared" si="14"/>
        <v>0</v>
      </c>
      <c r="AR8" s="4">
        <f t="shared" si="15"/>
        <v>0</v>
      </c>
    </row>
    <row r="9" spans="1:45" x14ac:dyDescent="0.25">
      <c r="A9">
        <f t="shared" si="16"/>
        <v>5</v>
      </c>
      <c r="B9" s="3">
        <v>42795</v>
      </c>
      <c r="C9">
        <v>1247</v>
      </c>
      <c r="D9" s="2">
        <v>43642316.270000003</v>
      </c>
      <c r="E9" s="2">
        <v>7.49</v>
      </c>
      <c r="F9" s="8">
        <f t="shared" si="17"/>
        <v>0.96982879979732894</v>
      </c>
      <c r="G9" s="2">
        <v>115772.06</v>
      </c>
      <c r="H9" s="2"/>
      <c r="I9" s="2"/>
      <c r="J9" s="2"/>
      <c r="K9" s="2"/>
      <c r="L9" s="2"/>
      <c r="M9" s="2"/>
      <c r="N9" s="6">
        <f t="shared" si="4"/>
        <v>2.6392378712777075E-3</v>
      </c>
      <c r="O9" s="6">
        <f t="shared" si="5"/>
        <v>3.1215146926637738E-2</v>
      </c>
      <c r="P9" s="27">
        <f t="shared" si="20"/>
        <v>2.2710658063176365E-2</v>
      </c>
      <c r="Q9" s="27"/>
      <c r="R9" s="27"/>
      <c r="S9" s="26">
        <v>42794651.340000004</v>
      </c>
      <c r="T9" s="26">
        <v>361703.4</v>
      </c>
      <c r="U9" s="26">
        <v>61672.98</v>
      </c>
      <c r="V9" s="26">
        <v>54538.28</v>
      </c>
      <c r="W9" s="26">
        <v>0</v>
      </c>
      <c r="X9" s="26">
        <v>0</v>
      </c>
      <c r="Y9" s="26">
        <v>0</v>
      </c>
      <c r="Z9" s="26">
        <f t="shared" si="18"/>
        <v>0</v>
      </c>
      <c r="AA9" s="4">
        <f t="shared" si="6"/>
        <v>0</v>
      </c>
      <c r="AB9" s="2">
        <v>38242245.189999998</v>
      </c>
      <c r="AC9" s="4">
        <f t="shared" si="19"/>
        <v>0.96571326237373734</v>
      </c>
      <c r="AD9" s="2">
        <f t="shared" si="8"/>
        <v>32592822.605113637</v>
      </c>
      <c r="AE9" s="2">
        <v>4389046.7</v>
      </c>
      <c r="AF9" s="8">
        <f t="shared" si="0"/>
        <v>0.97534371111111118</v>
      </c>
      <c r="AG9" s="2">
        <v>900000</v>
      </c>
      <c r="AH9" s="8">
        <f t="shared" si="1"/>
        <v>1</v>
      </c>
      <c r="AI9" s="8">
        <f t="shared" si="2"/>
        <v>0.87626525029992397</v>
      </c>
      <c r="AJ9" s="2">
        <v>384646.45</v>
      </c>
      <c r="AK9" s="4">
        <f t="shared" si="3"/>
        <v>0.13254836187456115</v>
      </c>
      <c r="AL9" s="4">
        <f t="shared" si="9"/>
        <v>0.98057699493409589</v>
      </c>
      <c r="AM9" s="4">
        <f t="shared" si="10"/>
        <v>8.2879056593207715E-3</v>
      </c>
      <c r="AN9" s="4">
        <f t="shared" si="11"/>
        <v>1.4131463513176177E-3</v>
      </c>
      <c r="AO9" s="4">
        <f t="shared" si="12"/>
        <v>1.2496651108660323E-3</v>
      </c>
      <c r="AP9" s="4">
        <f t="shared" si="13"/>
        <v>0</v>
      </c>
      <c r="AQ9" s="4">
        <f t="shared" si="14"/>
        <v>0</v>
      </c>
      <c r="AR9" s="4">
        <f t="shared" si="15"/>
        <v>0</v>
      </c>
    </row>
    <row r="10" spans="1:45" x14ac:dyDescent="0.25">
      <c r="A10">
        <f t="shared" si="16"/>
        <v>6</v>
      </c>
      <c r="B10" s="3">
        <v>42826</v>
      </c>
      <c r="C10">
        <v>1243</v>
      </c>
      <c r="D10" s="2">
        <v>43401983.490000002</v>
      </c>
      <c r="E10" s="2">
        <v>7.49</v>
      </c>
      <c r="F10" s="8">
        <f t="shared" si="17"/>
        <v>0.96448807383454183</v>
      </c>
      <c r="G10" s="2">
        <v>121876.4</v>
      </c>
      <c r="H10" s="2"/>
      <c r="I10" s="2"/>
      <c r="J10" s="2"/>
      <c r="K10" s="2"/>
      <c r="L10" s="2"/>
      <c r="M10" s="2"/>
      <c r="N10" s="6">
        <f t="shared" si="4"/>
        <v>2.7926198794306109E-3</v>
      </c>
      <c r="O10" s="6">
        <f t="shared" si="5"/>
        <v>3.3001484031951134E-2</v>
      </c>
      <c r="P10" s="27">
        <f t="shared" si="20"/>
        <v>2.6242642794595983E-2</v>
      </c>
      <c r="Q10" s="27">
        <f t="shared" ref="Q10" si="21">AVERAGE(O5:O10)</f>
        <v>2.9770510364896197E-2</v>
      </c>
      <c r="R10" s="27"/>
      <c r="S10" s="26">
        <v>42848964.950000003</v>
      </c>
      <c r="T10" s="26">
        <v>283164.11</v>
      </c>
      <c r="U10" s="26">
        <v>153395.03</v>
      </c>
      <c r="V10" s="26">
        <v>86089.64</v>
      </c>
      <c r="W10" s="26">
        <v>0</v>
      </c>
      <c r="X10" s="26">
        <v>30369.759999999998</v>
      </c>
      <c r="Y10" s="26">
        <v>0</v>
      </c>
      <c r="Z10" s="26">
        <f t="shared" si="18"/>
        <v>0</v>
      </c>
      <c r="AA10" s="4">
        <f t="shared" si="6"/>
        <v>0</v>
      </c>
      <c r="AB10" s="2">
        <v>38001912.409999996</v>
      </c>
      <c r="AC10" s="4">
        <f t="shared" si="19"/>
        <v>0.95964425277777765</v>
      </c>
      <c r="AD10" s="2">
        <f t="shared" si="8"/>
        <v>32387993.531249996</v>
      </c>
      <c r="AE10" s="2">
        <v>4350056.97</v>
      </c>
      <c r="AF10" s="8">
        <f t="shared" si="0"/>
        <v>0.96667932666666656</v>
      </c>
      <c r="AG10" s="2">
        <v>900000</v>
      </c>
      <c r="AH10" s="8">
        <f t="shared" si="1"/>
        <v>1</v>
      </c>
      <c r="AI10" s="8">
        <f t="shared" si="2"/>
        <v>0.87558008538378884</v>
      </c>
      <c r="AJ10" s="2">
        <v>406323.86</v>
      </c>
      <c r="AK10" s="4">
        <f t="shared" si="3"/>
        <v>0.133781787676543</v>
      </c>
      <c r="AL10" s="4">
        <f t="shared" si="9"/>
        <v>0.98725821965884542</v>
      </c>
      <c r="AM10" s="4">
        <f t="shared" si="10"/>
        <v>6.524220490182025E-3</v>
      </c>
      <c r="AN10" s="4">
        <f t="shared" si="11"/>
        <v>3.5342861700166962E-3</v>
      </c>
      <c r="AO10" s="4">
        <f t="shared" si="12"/>
        <v>1.9835416051857493E-3</v>
      </c>
      <c r="AP10" s="4">
        <f t="shared" si="13"/>
        <v>0</v>
      </c>
      <c r="AQ10" s="4">
        <f t="shared" si="14"/>
        <v>6.9973207577016196E-4</v>
      </c>
      <c r="AR10" s="4">
        <f t="shared" si="15"/>
        <v>0</v>
      </c>
    </row>
    <row r="11" spans="1:45" x14ac:dyDescent="0.25">
      <c r="A11">
        <f t="shared" si="16"/>
        <v>7</v>
      </c>
      <c r="B11" s="3">
        <f>+B10+31</f>
        <v>42857</v>
      </c>
      <c r="C11">
        <v>1242</v>
      </c>
      <c r="D11" s="2">
        <v>43266943.399999999</v>
      </c>
      <c r="E11" s="2">
        <v>7.49</v>
      </c>
      <c r="F11" s="8">
        <f t="shared" si="17"/>
        <v>0.96148718434006619</v>
      </c>
      <c r="G11" s="2">
        <v>60205.9</v>
      </c>
      <c r="H11" s="2"/>
      <c r="I11" s="2"/>
      <c r="J11" s="2"/>
      <c r="K11" s="2"/>
      <c r="L11" s="2"/>
      <c r="M11" s="2"/>
      <c r="N11" s="6">
        <f t="shared" si="4"/>
        <v>1.3871693217401388E-3</v>
      </c>
      <c r="O11" s="6">
        <f t="shared" ref="O11:O22" si="22">1-(+N11-1)^12</f>
        <v>1.6519617509999751E-2</v>
      </c>
      <c r="P11" s="27">
        <f t="shared" ref="P11:P22" si="23">AVERAGE(O9:O11)</f>
        <v>2.6912082822862875E-2</v>
      </c>
      <c r="Q11" s="27">
        <f t="shared" ref="Q11:Q22" si="24">AVERAGE(O6:O11)</f>
        <v>2.7824293933231992E-2</v>
      </c>
      <c r="R11" s="27"/>
      <c r="S11" s="26">
        <v>42789129.380000003</v>
      </c>
      <c r="T11" s="26">
        <v>320154.82</v>
      </c>
      <c r="U11" s="26">
        <v>41199.800000000003</v>
      </c>
      <c r="V11" s="26">
        <v>50096.43</v>
      </c>
      <c r="W11" s="26">
        <v>49670.53</v>
      </c>
      <c r="X11" s="26">
        <v>16692.439999999999</v>
      </c>
      <c r="Y11" s="26">
        <v>0</v>
      </c>
      <c r="Z11" s="26">
        <f t="shared" ref="Z11:Z20" si="25">+Z12-Y12</f>
        <v>0</v>
      </c>
      <c r="AA11" s="4">
        <f t="shared" ref="AA11:AA23" si="26">+Z11/$D$4</f>
        <v>0</v>
      </c>
      <c r="AB11" s="2">
        <v>37857268.640000001</v>
      </c>
      <c r="AC11" s="4">
        <f t="shared" ref="AC11:AC23" si="27">+AB11/AB$4</f>
        <v>0.95599163232323237</v>
      </c>
      <c r="AD11" s="2">
        <f t="shared" si="8"/>
        <v>32264717.590909094</v>
      </c>
      <c r="AE11" s="2">
        <v>4326687.2300000004</v>
      </c>
      <c r="AF11" s="8">
        <f t="shared" ref="AF11:AF23" si="28">+AE11/$AE$4</f>
        <v>0.96148605111111118</v>
      </c>
      <c r="AG11" s="2">
        <v>900000</v>
      </c>
      <c r="AH11" s="8">
        <f t="shared" ref="AH11:AH23" si="29">+AG11/$AG$4</f>
        <v>1</v>
      </c>
      <c r="AI11" s="8">
        <f t="shared" si="2"/>
        <v>0.87496979599441738</v>
      </c>
      <c r="AJ11" s="2">
        <v>403770.32</v>
      </c>
      <c r="AK11" s="4">
        <f t="shared" si="3"/>
        <v>0.13436227806191639</v>
      </c>
      <c r="AL11" s="4">
        <f t="shared" si="9"/>
        <v>0.98895660329913682</v>
      </c>
      <c r="AM11" s="4">
        <f t="shared" si="10"/>
        <v>7.3995247836249976E-3</v>
      </c>
      <c r="AN11" s="4">
        <f t="shared" si="11"/>
        <v>9.5222349355975088E-4</v>
      </c>
      <c r="AO11" s="4">
        <f t="shared" si="12"/>
        <v>1.1578453679258517E-3</v>
      </c>
      <c r="AP11" s="4">
        <f t="shared" si="13"/>
        <v>1.1480018253380939E-3</v>
      </c>
      <c r="AQ11" s="4">
        <f t="shared" si="14"/>
        <v>3.8580123041462641E-4</v>
      </c>
      <c r="AR11" s="4">
        <f t="shared" si="15"/>
        <v>0</v>
      </c>
    </row>
    <row r="12" spans="1:45" x14ac:dyDescent="0.25">
      <c r="A12">
        <f t="shared" si="16"/>
        <v>8</v>
      </c>
      <c r="B12" s="3">
        <f t="shared" ref="B12:B116" si="30">+B11+31</f>
        <v>42888</v>
      </c>
      <c r="C12">
        <v>1241</v>
      </c>
      <c r="D12" s="2">
        <v>43162260.539999999</v>
      </c>
      <c r="E12" s="2">
        <v>7.49</v>
      </c>
      <c r="F12" s="8">
        <f t="shared" si="17"/>
        <v>0.95916089964323537</v>
      </c>
      <c r="G12" s="2">
        <v>23912.39</v>
      </c>
      <c r="H12" s="2"/>
      <c r="I12" s="2"/>
      <c r="J12" s="2"/>
      <c r="K12" s="2"/>
      <c r="L12" s="2"/>
      <c r="M12" s="2"/>
      <c r="N12" s="6">
        <f t="shared" si="4"/>
        <v>5.526711184317217E-4</v>
      </c>
      <c r="O12" s="6">
        <f t="shared" si="22"/>
        <v>6.6119311193230113E-3</v>
      </c>
      <c r="P12" s="27">
        <f t="shared" si="23"/>
        <v>1.87110108870913E-2</v>
      </c>
      <c r="Q12" s="27">
        <f t="shared" si="24"/>
        <v>2.0710834475133832E-2</v>
      </c>
      <c r="R12" s="27"/>
      <c r="S12" s="26">
        <v>42713641.43</v>
      </c>
      <c r="T12" s="26">
        <v>158005.1</v>
      </c>
      <c r="U12" s="26">
        <v>174154.61</v>
      </c>
      <c r="V12" s="26">
        <v>0</v>
      </c>
      <c r="W12" s="26">
        <v>63773.75</v>
      </c>
      <c r="X12" s="26">
        <v>35993.21</v>
      </c>
      <c r="Y12" s="26">
        <v>16692.439999999999</v>
      </c>
      <c r="Z12" s="26">
        <f t="shared" si="25"/>
        <v>16692.440000000002</v>
      </c>
      <c r="AA12" s="4">
        <f t="shared" si="26"/>
        <v>3.7094293874629232E-4</v>
      </c>
      <c r="AB12" s="2">
        <v>37715955.990000002</v>
      </c>
      <c r="AC12" s="4">
        <f t="shared" si="27"/>
        <v>0.95242313106060617</v>
      </c>
      <c r="AD12" s="2">
        <f t="shared" si="8"/>
        <v>32144280.673295457</v>
      </c>
      <c r="AE12" s="2">
        <v>4314549.7</v>
      </c>
      <c r="AF12" s="8">
        <f t="shared" si="28"/>
        <v>0.95878882222222228</v>
      </c>
      <c r="AG12" s="2">
        <v>900000</v>
      </c>
      <c r="AH12" s="8">
        <f t="shared" si="29"/>
        <v>1</v>
      </c>
      <c r="AI12" s="8">
        <f t="shared" si="2"/>
        <v>0.87381790291190353</v>
      </c>
      <c r="AJ12" s="2">
        <v>402233.48</v>
      </c>
      <c r="AK12" s="4">
        <f t="shared" si="3"/>
        <v>0.13550119842726832</v>
      </c>
      <c r="AL12" s="4">
        <f t="shared" si="9"/>
        <v>0.9896062183864478</v>
      </c>
      <c r="AM12" s="4">
        <f t="shared" si="10"/>
        <v>3.6607234658984338E-3</v>
      </c>
      <c r="AN12" s="4">
        <f t="shared" si="11"/>
        <v>4.0348815799071671E-3</v>
      </c>
      <c r="AO12" s="4">
        <f t="shared" si="12"/>
        <v>0</v>
      </c>
      <c r="AP12" s="4">
        <f t="shared" si="13"/>
        <v>1.4775349854741413E-3</v>
      </c>
      <c r="AQ12" s="4">
        <f t="shared" si="14"/>
        <v>8.339046553561256E-4</v>
      </c>
      <c r="AR12" s="4">
        <f t="shared" si="15"/>
        <v>3.8673692691629349E-4</v>
      </c>
    </row>
    <row r="13" spans="1:45" x14ac:dyDescent="0.25">
      <c r="A13">
        <f t="shared" si="16"/>
        <v>9</v>
      </c>
      <c r="B13" s="3">
        <f t="shared" si="30"/>
        <v>42919</v>
      </c>
      <c r="C13">
        <v>1237</v>
      </c>
      <c r="D13" s="2">
        <v>42966206.259999998</v>
      </c>
      <c r="E13" s="2">
        <v>7.49</v>
      </c>
      <c r="F13" s="8">
        <f t="shared" si="17"/>
        <v>0.95480413988989854</v>
      </c>
      <c r="G13" s="2">
        <v>87569.76</v>
      </c>
      <c r="H13" s="2"/>
      <c r="I13" s="2"/>
      <c r="J13" s="2"/>
      <c r="K13" s="2"/>
      <c r="L13" s="2"/>
      <c r="M13" s="2"/>
      <c r="N13" s="6">
        <f t="shared" si="4"/>
        <v>2.0288501784758465E-3</v>
      </c>
      <c r="O13" s="6">
        <f t="shared" si="22"/>
        <v>2.4076359669252034E-2</v>
      </c>
      <c r="P13" s="27">
        <f t="shared" si="23"/>
        <v>1.5735969432858266E-2</v>
      </c>
      <c r="Q13" s="27">
        <f t="shared" si="24"/>
        <v>2.0989306113727124E-2</v>
      </c>
      <c r="R13" s="27"/>
      <c r="S13" s="26">
        <v>42407513.640000001</v>
      </c>
      <c r="T13" s="26">
        <v>207979.9</v>
      </c>
      <c r="U13" s="26">
        <v>162312.68</v>
      </c>
      <c r="V13" s="26">
        <v>29837.01</v>
      </c>
      <c r="W13" s="26">
        <v>55780.95</v>
      </c>
      <c r="X13" s="26">
        <v>50096.43</v>
      </c>
      <c r="Y13" s="26">
        <v>35993.21</v>
      </c>
      <c r="Z13" s="26">
        <f t="shared" si="25"/>
        <v>52685.65</v>
      </c>
      <c r="AA13" s="4">
        <f t="shared" si="26"/>
        <v>1.1707916781943559E-3</v>
      </c>
      <c r="AB13" s="2">
        <v>37483908.5</v>
      </c>
      <c r="AC13" s="4">
        <f t="shared" si="27"/>
        <v>0.94656334595959601</v>
      </c>
      <c r="AD13" s="2">
        <f t="shared" si="8"/>
        <v>31946512.926136363</v>
      </c>
      <c r="AE13" s="2">
        <v>4314344.67</v>
      </c>
      <c r="AF13" s="8">
        <f t="shared" si="28"/>
        <v>0.95874325999999999</v>
      </c>
      <c r="AG13" s="2">
        <v>900000</v>
      </c>
      <c r="AH13" s="8">
        <f t="shared" si="29"/>
        <v>1</v>
      </c>
      <c r="AI13" s="8">
        <f t="shared" si="2"/>
        <v>0.87240442577533728</v>
      </c>
      <c r="AJ13" s="2">
        <v>400732.03</v>
      </c>
      <c r="AK13" s="4">
        <f t="shared" si="3"/>
        <v>0.13692225360554788</v>
      </c>
      <c r="AL13" s="4">
        <f t="shared" si="9"/>
        <v>0.98699692924669213</v>
      </c>
      <c r="AM13" s="4">
        <f t="shared" si="10"/>
        <v>4.8405460501087308E-3</v>
      </c>
      <c r="AN13" s="4">
        <f t="shared" si="11"/>
        <v>3.7776823724627348E-3</v>
      </c>
      <c r="AO13" s="4">
        <f t="shared" si="12"/>
        <v>6.944297064406449E-4</v>
      </c>
      <c r="AP13" s="4">
        <f t="shared" si="13"/>
        <v>1.2982516925616975E-3</v>
      </c>
      <c r="AQ13" s="4">
        <f t="shared" si="14"/>
        <v>1.1659495766708635E-3</v>
      </c>
      <c r="AR13" s="4">
        <f t="shared" si="15"/>
        <v>8.3770975222237365E-4</v>
      </c>
    </row>
    <row r="14" spans="1:45" x14ac:dyDescent="0.25">
      <c r="A14">
        <f t="shared" si="16"/>
        <v>10</v>
      </c>
      <c r="B14" s="3">
        <f t="shared" si="30"/>
        <v>42950</v>
      </c>
      <c r="C14">
        <v>1233</v>
      </c>
      <c r="D14" s="2">
        <v>42766560.32</v>
      </c>
      <c r="E14" s="2">
        <v>7.49</v>
      </c>
      <c r="F14" s="8">
        <f t="shared" si="17"/>
        <v>0.95036756550698243</v>
      </c>
      <c r="G14" s="2">
        <v>91190.53</v>
      </c>
      <c r="H14" s="2"/>
      <c r="I14" s="2"/>
      <c r="J14" s="2"/>
      <c r="K14" s="2"/>
      <c r="L14" s="2"/>
      <c r="M14" s="2"/>
      <c r="N14" s="6">
        <f t="shared" si="4"/>
        <v>2.1223779788278659E-3</v>
      </c>
      <c r="O14" s="6">
        <f t="shared" si="22"/>
        <v>2.5173332759273581E-2</v>
      </c>
      <c r="P14" s="27">
        <f t="shared" si="23"/>
        <v>1.8620541182616208E-2</v>
      </c>
      <c r="Q14" s="27">
        <f t="shared" si="24"/>
        <v>2.2766312002739542E-2</v>
      </c>
      <c r="R14" s="27"/>
      <c r="S14" s="26">
        <v>42191174.890000001</v>
      </c>
      <c r="T14" s="26">
        <v>279718.95</v>
      </c>
      <c r="U14" s="26">
        <v>168586.97</v>
      </c>
      <c r="V14" s="26">
        <v>13677.32</v>
      </c>
      <c r="W14" s="26">
        <v>0</v>
      </c>
      <c r="X14" s="26">
        <v>10620.11</v>
      </c>
      <c r="Y14" s="26">
        <v>50096.43</v>
      </c>
      <c r="Z14" s="26">
        <f t="shared" si="25"/>
        <v>102782.08</v>
      </c>
      <c r="AA14" s="4">
        <f t="shared" si="26"/>
        <v>2.284045160902571E-3</v>
      </c>
      <c r="AB14" s="2">
        <v>37234166.130000003</v>
      </c>
      <c r="AC14" s="4">
        <f t="shared" si="27"/>
        <v>0.94025672045454556</v>
      </c>
      <c r="AD14" s="2">
        <f t="shared" si="8"/>
        <v>31733664.315340914</v>
      </c>
      <c r="AE14" s="2">
        <v>4314226.12</v>
      </c>
      <c r="AF14" s="8">
        <f t="shared" si="28"/>
        <v>0.9587169155555556</v>
      </c>
      <c r="AG14" s="2">
        <v>900000</v>
      </c>
      <c r="AH14" s="8">
        <f t="shared" si="29"/>
        <v>1</v>
      </c>
      <c r="AI14" s="8">
        <f t="shared" si="2"/>
        <v>0.87063738237061949</v>
      </c>
      <c r="AJ14" s="2">
        <v>398266.53</v>
      </c>
      <c r="AK14" s="4">
        <f t="shared" si="3"/>
        <v>0.1386751863049995</v>
      </c>
      <c r="AL14" s="4">
        <f t="shared" si="9"/>
        <v>0.98654590348873772</v>
      </c>
      <c r="AM14" s="4">
        <f t="shared" si="10"/>
        <v>6.5405996626104164E-3</v>
      </c>
      <c r="AN14" s="4">
        <f t="shared" si="11"/>
        <v>3.9420278072061698E-3</v>
      </c>
      <c r="AO14" s="4">
        <f t="shared" si="12"/>
        <v>3.19813421927312E-4</v>
      </c>
      <c r="AP14" s="4">
        <f t="shared" si="13"/>
        <v>0</v>
      </c>
      <c r="AQ14" s="4">
        <f t="shared" si="14"/>
        <v>2.4832742966783447E-4</v>
      </c>
      <c r="AR14" s="4">
        <f t="shared" si="15"/>
        <v>1.1713925465399691E-3</v>
      </c>
    </row>
    <row r="15" spans="1:45" x14ac:dyDescent="0.25">
      <c r="A15">
        <f t="shared" si="16"/>
        <v>11</v>
      </c>
      <c r="B15" s="3">
        <f t="shared" si="30"/>
        <v>42981</v>
      </c>
      <c r="C15">
        <v>1230</v>
      </c>
      <c r="D15" s="2">
        <v>42552055.859999999</v>
      </c>
      <c r="E15" s="2">
        <v>7.49</v>
      </c>
      <c r="F15" s="8">
        <f t="shared" si="17"/>
        <v>0.94560080194416074</v>
      </c>
      <c r="G15" s="2">
        <v>27767.5</v>
      </c>
      <c r="H15" s="2"/>
      <c r="I15" s="2"/>
      <c r="J15" s="2"/>
      <c r="K15" s="2"/>
      <c r="L15" s="2"/>
      <c r="M15" s="2"/>
      <c r="N15" s="6">
        <f t="shared" si="4"/>
        <v>6.492806480631174E-4</v>
      </c>
      <c r="O15" s="6">
        <f t="shared" si="22"/>
        <v>7.7636045922527819E-3</v>
      </c>
      <c r="P15" s="27">
        <f t="shared" si="23"/>
        <v>1.9004432340259465E-2</v>
      </c>
      <c r="Q15" s="27">
        <f t="shared" si="24"/>
        <v>1.8857721613675382E-2</v>
      </c>
      <c r="R15" s="27"/>
      <c r="S15" s="26">
        <v>41836330.25</v>
      </c>
      <c r="T15" s="26">
        <v>444578.15</v>
      </c>
      <c r="U15" s="26">
        <v>94361.1</v>
      </c>
      <c r="V15" s="26">
        <v>63384.17</v>
      </c>
      <c r="W15" s="26">
        <v>0</v>
      </c>
      <c r="X15" s="26">
        <v>0</v>
      </c>
      <c r="Y15" s="26">
        <v>10620.11</v>
      </c>
      <c r="Z15" s="26">
        <f t="shared" si="25"/>
        <v>113402.19</v>
      </c>
      <c r="AA15" s="4">
        <f t="shared" si="26"/>
        <v>2.5200474956845972E-3</v>
      </c>
      <c r="AB15" s="2">
        <v>37009041.560000002</v>
      </c>
      <c r="AC15" s="4">
        <f t="shared" si="27"/>
        <v>0.93457175656565661</v>
      </c>
      <c r="AD15" s="2">
        <f t="shared" si="8"/>
        <v>31541796.78409091</v>
      </c>
      <c r="AE15" s="2">
        <v>4292528.9000000004</v>
      </c>
      <c r="AF15" s="8">
        <f t="shared" si="28"/>
        <v>0.95389531111111114</v>
      </c>
      <c r="AG15" s="2">
        <v>900000</v>
      </c>
      <c r="AH15" s="8">
        <f t="shared" si="29"/>
        <v>1</v>
      </c>
      <c r="AI15" s="8">
        <f t="shared" si="2"/>
        <v>0.86973568754851704</v>
      </c>
      <c r="AJ15" s="2">
        <v>395613.02</v>
      </c>
      <c r="AK15" s="4">
        <f t="shared" si="3"/>
        <v>0.13956146653733031</v>
      </c>
      <c r="AL15" s="4">
        <f t="shared" si="9"/>
        <v>0.98317999928476307</v>
      </c>
      <c r="AM15" s="4">
        <f t="shared" si="10"/>
        <v>1.0447865350212483E-2</v>
      </c>
      <c r="AN15" s="4">
        <f t="shared" si="11"/>
        <v>2.2175450302673108E-3</v>
      </c>
      <c r="AO15" s="4">
        <f t="shared" si="12"/>
        <v>1.4895677475264529E-3</v>
      </c>
      <c r="AP15" s="4">
        <f t="shared" si="13"/>
        <v>0</v>
      </c>
      <c r="AQ15" s="4">
        <f t="shared" si="14"/>
        <v>0</v>
      </c>
      <c r="AR15" s="4">
        <f t="shared" si="15"/>
        <v>2.4957924559370514E-4</v>
      </c>
      <c r="AS15" s="9"/>
    </row>
    <row r="16" spans="1:45" x14ac:dyDescent="0.25">
      <c r="A16">
        <f t="shared" si="16"/>
        <v>12</v>
      </c>
      <c r="B16" s="3">
        <f t="shared" si="30"/>
        <v>43012</v>
      </c>
      <c r="C16">
        <v>1225</v>
      </c>
      <c r="D16" s="2">
        <v>42328315.049999997</v>
      </c>
      <c r="E16" s="2">
        <v>7.49</v>
      </c>
      <c r="F16" s="8">
        <f t="shared" si="17"/>
        <v>0.94062878625449065</v>
      </c>
      <c r="G16" s="2">
        <v>136472.32000000001</v>
      </c>
      <c r="H16" s="2"/>
      <c r="I16" s="2"/>
      <c r="J16" s="2"/>
      <c r="K16" s="2"/>
      <c r="L16" s="2"/>
      <c r="M16" s="2"/>
      <c r="N16" s="6">
        <f t="shared" si="4"/>
        <v>3.2071851110791433E-3</v>
      </c>
      <c r="O16" s="6">
        <f t="shared" si="22"/>
        <v>3.781454845918153E-2</v>
      </c>
      <c r="P16" s="27">
        <f t="shared" si="23"/>
        <v>2.3583828603569296E-2</v>
      </c>
      <c r="Q16" s="27">
        <f t="shared" si="24"/>
        <v>1.9659899018213783E-2</v>
      </c>
      <c r="R16" s="27">
        <f t="shared" ref="R16:R22" si="31">AVERAGE(O5:O16)</f>
        <v>2.4715204691554988E-2</v>
      </c>
      <c r="S16" s="26">
        <v>41760579.649999999</v>
      </c>
      <c r="T16" s="26">
        <v>337345.7</v>
      </c>
      <c r="U16" s="26">
        <v>129513.48</v>
      </c>
      <c r="V16" s="26">
        <v>2937.01</v>
      </c>
      <c r="W16" s="26">
        <v>7733.45</v>
      </c>
      <c r="X16" s="26">
        <v>0</v>
      </c>
      <c r="Y16" s="26">
        <v>0</v>
      </c>
      <c r="Z16" s="26">
        <f t="shared" si="25"/>
        <v>113402.19</v>
      </c>
      <c r="AA16" s="4">
        <f t="shared" si="26"/>
        <v>2.5200474956845972E-3</v>
      </c>
      <c r="AB16" s="2">
        <v>36835397.18</v>
      </c>
      <c r="AC16" s="4">
        <f t="shared" si="27"/>
        <v>0.93018679747474742</v>
      </c>
      <c r="AD16" s="2">
        <f t="shared" si="8"/>
        <v>31393804.414772727</v>
      </c>
      <c r="AE16" s="2">
        <v>4258138.66</v>
      </c>
      <c r="AF16" s="8">
        <f t="shared" si="28"/>
        <v>0.94625303555555562</v>
      </c>
      <c r="AG16" s="2">
        <v>900000</v>
      </c>
      <c r="AH16" s="8">
        <f t="shared" si="29"/>
        <v>1</v>
      </c>
      <c r="AI16" s="8">
        <f t="shared" si="2"/>
        <v>0.87023065143246237</v>
      </c>
      <c r="AJ16" s="2">
        <v>393221.01</v>
      </c>
      <c r="AK16" s="4">
        <f t="shared" si="3"/>
        <v>0.13905913507417053</v>
      </c>
      <c r="AL16" s="4">
        <f t="shared" si="9"/>
        <v>0.98658733759353834</v>
      </c>
      <c r="AM16" s="4">
        <f t="shared" si="10"/>
        <v>7.9697408130116453E-3</v>
      </c>
      <c r="AN16" s="4">
        <f t="shared" si="11"/>
        <v>3.0597362509472252E-3</v>
      </c>
      <c r="AO16" s="4">
        <f t="shared" si="12"/>
        <v>6.9386414189430396E-5</v>
      </c>
      <c r="AP16" s="4">
        <f t="shared" si="13"/>
        <v>1.8270157909344896E-4</v>
      </c>
      <c r="AQ16" s="4">
        <f t="shared" si="14"/>
        <v>0</v>
      </c>
      <c r="AR16" s="4">
        <f t="shared" si="15"/>
        <v>0</v>
      </c>
    </row>
    <row r="17" spans="1:44" x14ac:dyDescent="0.25">
      <c r="A17">
        <f t="shared" si="16"/>
        <v>13</v>
      </c>
      <c r="B17" s="3">
        <f t="shared" si="30"/>
        <v>43043</v>
      </c>
      <c r="C17">
        <v>1220</v>
      </c>
      <c r="D17" s="2">
        <v>42051037.560000002</v>
      </c>
      <c r="E17" s="2">
        <v>7.49</v>
      </c>
      <c r="F17" s="8">
        <f t="shared" si="17"/>
        <v>0.93446706711763627</v>
      </c>
      <c r="G17" s="2">
        <v>201832.46</v>
      </c>
      <c r="H17" s="2"/>
      <c r="I17" s="2"/>
      <c r="J17" s="2"/>
      <c r="K17" s="2"/>
      <c r="L17" s="2"/>
      <c r="M17" s="2"/>
      <c r="N17" s="6">
        <f t="shared" si="4"/>
        <v>4.768261145325226E-3</v>
      </c>
      <c r="O17" s="6">
        <f t="shared" si="22"/>
        <v>5.5742133843442065E-2</v>
      </c>
      <c r="P17" s="27">
        <f t="shared" si="23"/>
        <v>3.3773428964958795E-2</v>
      </c>
      <c r="Q17" s="27">
        <f t="shared" si="24"/>
        <v>2.6196985073787499E-2</v>
      </c>
      <c r="R17" s="27">
        <f t="shared" si="31"/>
        <v>2.7010639503509747E-2</v>
      </c>
      <c r="S17" s="26">
        <v>41373770.990000002</v>
      </c>
      <c r="T17" s="26">
        <v>370078.44</v>
      </c>
      <c r="U17" s="26">
        <v>190643</v>
      </c>
      <c r="V17" s="26">
        <v>45505.919999999998</v>
      </c>
      <c r="W17" s="26">
        <v>0</v>
      </c>
      <c r="X17" s="26">
        <v>7733.45</v>
      </c>
      <c r="Y17" s="26">
        <v>0</v>
      </c>
      <c r="Z17" s="26">
        <f t="shared" si="25"/>
        <v>113402.19</v>
      </c>
      <c r="AA17" s="4">
        <f t="shared" si="26"/>
        <v>2.5200474956845972E-3</v>
      </c>
      <c r="AB17" s="2">
        <v>36558119.689999998</v>
      </c>
      <c r="AC17" s="4">
        <f t="shared" si="27"/>
        <v>0.92318484065656559</v>
      </c>
      <c r="AD17" s="2">
        <f t="shared" si="8"/>
        <v>31157488.37215909</v>
      </c>
      <c r="AE17" s="2">
        <v>4204223.53</v>
      </c>
      <c r="AF17" s="8">
        <f t="shared" si="28"/>
        <v>0.93427189555555556</v>
      </c>
      <c r="AG17" s="2">
        <v>900000</v>
      </c>
      <c r="AH17" s="8">
        <f t="shared" si="29"/>
        <v>1</v>
      </c>
      <c r="AI17" s="8">
        <f t="shared" si="2"/>
        <v>0.86937497410943776</v>
      </c>
      <c r="AJ17" s="2">
        <v>391376.1</v>
      </c>
      <c r="AK17" s="4">
        <f t="shared" si="3"/>
        <v>0.13993219457674674</v>
      </c>
      <c r="AL17" s="4">
        <f t="shared" si="9"/>
        <v>0.98389417695024406</v>
      </c>
      <c r="AM17" s="4">
        <f t="shared" si="10"/>
        <v>8.8006969975938914E-3</v>
      </c>
      <c r="AN17" s="4">
        <f t="shared" si="11"/>
        <v>4.5336098955461772E-3</v>
      </c>
      <c r="AO17" s="4">
        <f t="shared" si="12"/>
        <v>1.0821592674157075E-3</v>
      </c>
      <c r="AP17" s="4">
        <f t="shared" si="13"/>
        <v>0</v>
      </c>
      <c r="AQ17" s="4">
        <f t="shared" si="14"/>
        <v>1.8390628266818916E-4</v>
      </c>
      <c r="AR17" s="4">
        <f t="shared" si="15"/>
        <v>0</v>
      </c>
    </row>
    <row r="18" spans="1:44" x14ac:dyDescent="0.25">
      <c r="A18">
        <f t="shared" si="16"/>
        <v>14</v>
      </c>
      <c r="B18" s="3">
        <f t="shared" si="30"/>
        <v>43074</v>
      </c>
      <c r="C18">
        <v>1219</v>
      </c>
      <c r="D18" s="2">
        <v>42051037.560000002</v>
      </c>
      <c r="E18" s="2">
        <v>7.49</v>
      </c>
      <c r="F18" s="8">
        <f t="shared" si="17"/>
        <v>0.93446706711763627</v>
      </c>
      <c r="G18" s="2">
        <v>77.98</v>
      </c>
      <c r="H18" s="2"/>
      <c r="I18" s="2"/>
      <c r="J18" s="2"/>
      <c r="K18" s="2"/>
      <c r="L18" s="2"/>
      <c r="M18" s="2"/>
      <c r="N18" s="6">
        <f t="shared" si="4"/>
        <v>1.854413220809004E-6</v>
      </c>
      <c r="O18" s="6">
        <f t="shared" si="22"/>
        <v>2.2252731686878136E-5</v>
      </c>
      <c r="P18" s="27">
        <f t="shared" si="23"/>
        <v>3.1192978344770157E-2</v>
      </c>
      <c r="Q18" s="27">
        <f t="shared" si="24"/>
        <v>2.5098705342514811E-2</v>
      </c>
      <c r="R18" s="27">
        <f t="shared" si="31"/>
        <v>2.2904769908824323E-2</v>
      </c>
      <c r="S18" s="26">
        <v>41217306.159999996</v>
      </c>
      <c r="T18" s="26">
        <v>410896.94</v>
      </c>
      <c r="U18" s="26">
        <v>133584.20000000001</v>
      </c>
      <c r="V18" s="26">
        <v>68566.86</v>
      </c>
      <c r="W18" s="26">
        <v>16159.69</v>
      </c>
      <c r="X18" s="26">
        <v>7713.45</v>
      </c>
      <c r="Y18" s="26">
        <v>0</v>
      </c>
      <c r="Z18" s="26">
        <f t="shared" si="25"/>
        <v>113402.19</v>
      </c>
      <c r="AA18" s="4">
        <f t="shared" si="26"/>
        <v>2.5200474956845972E-3</v>
      </c>
      <c r="AB18" s="2">
        <v>36424615.189999998</v>
      </c>
      <c r="AC18" s="4">
        <f t="shared" si="27"/>
        <v>0.91981351489898988</v>
      </c>
      <c r="AD18" s="2">
        <f t="shared" si="8"/>
        <v>31043706.127840906</v>
      </c>
      <c r="AE18" s="2">
        <v>4163934</v>
      </c>
      <c r="AF18" s="8">
        <f t="shared" si="28"/>
        <v>0.92531866666666662</v>
      </c>
      <c r="AG18" s="2">
        <v>900000</v>
      </c>
      <c r="AH18" s="8">
        <f t="shared" si="29"/>
        <v>1</v>
      </c>
      <c r="AI18" s="8">
        <f t="shared" si="2"/>
        <v>0.86620015351649737</v>
      </c>
      <c r="AJ18" s="2">
        <v>388430.02</v>
      </c>
      <c r="AK18" s="4">
        <f t="shared" si="3"/>
        <v>0.14303695554283982</v>
      </c>
      <c r="AL18" s="4">
        <f t="shared" si="9"/>
        <v>0.98017334533516787</v>
      </c>
      <c r="AM18" s="4">
        <f t="shared" si="10"/>
        <v>9.7713864827643493E-3</v>
      </c>
      <c r="AN18" s="4">
        <f t="shared" si="11"/>
        <v>3.1767159088380886E-3</v>
      </c>
      <c r="AO18" s="4">
        <f t="shared" si="12"/>
        <v>1.6305628583400879E-3</v>
      </c>
      <c r="AP18" s="4">
        <f t="shared" si="13"/>
        <v>3.8428754527026229E-4</v>
      </c>
      <c r="AQ18" s="4">
        <f t="shared" si="14"/>
        <v>1.8343067014682239E-4</v>
      </c>
      <c r="AR18" s="4">
        <f t="shared" si="15"/>
        <v>0</v>
      </c>
    </row>
    <row r="19" spans="1:44" x14ac:dyDescent="0.25">
      <c r="A19">
        <f t="shared" si="16"/>
        <v>15</v>
      </c>
      <c r="B19" s="3">
        <f t="shared" si="30"/>
        <v>43105</v>
      </c>
      <c r="C19">
        <v>1214</v>
      </c>
      <c r="D19" s="2">
        <v>41710866.210000001</v>
      </c>
      <c r="E19" s="2">
        <v>7.49</v>
      </c>
      <c r="F19" s="8">
        <f t="shared" si="17"/>
        <v>0.92690770729688543</v>
      </c>
      <c r="G19" s="2">
        <v>102093.49</v>
      </c>
      <c r="H19" s="2"/>
      <c r="I19" s="2"/>
      <c r="J19" s="2"/>
      <c r="K19" s="2"/>
      <c r="L19" s="2"/>
      <c r="M19" s="2"/>
      <c r="N19" s="6">
        <f t="shared" si="4"/>
        <v>2.4278471097016136E-3</v>
      </c>
      <c r="O19" s="6">
        <f t="shared" si="22"/>
        <v>2.8748263416380371E-2</v>
      </c>
      <c r="P19" s="27">
        <f t="shared" si="23"/>
        <v>2.8170883330503105E-2</v>
      </c>
      <c r="Q19" s="27">
        <f t="shared" si="24"/>
        <v>2.5877355967036202E-2</v>
      </c>
      <c r="R19" s="27">
        <f t="shared" si="31"/>
        <v>2.3433331040381662E-2</v>
      </c>
      <c r="S19" s="26">
        <v>41017381.329999998</v>
      </c>
      <c r="T19" s="26">
        <v>277985.84000000003</v>
      </c>
      <c r="U19" s="26">
        <v>245679.74</v>
      </c>
      <c r="V19" s="26">
        <v>53841.85</v>
      </c>
      <c r="W19" s="26">
        <v>449938.24</v>
      </c>
      <c r="X19" s="26">
        <v>10620.11</v>
      </c>
      <c r="Y19" s="26">
        <v>7733.45</v>
      </c>
      <c r="Z19" s="26">
        <f t="shared" si="25"/>
        <v>121135.64</v>
      </c>
      <c r="AA19" s="4">
        <f t="shared" si="26"/>
        <v>2.6919018602740469E-3</v>
      </c>
      <c r="AB19" s="2">
        <v>36220835</v>
      </c>
      <c r="AC19" s="4">
        <f t="shared" si="27"/>
        <v>0.91466755050505055</v>
      </c>
      <c r="AD19" s="2">
        <f t="shared" si="8"/>
        <v>30870029.829545457</v>
      </c>
      <c r="AE19" s="2">
        <v>4137512.57</v>
      </c>
      <c r="AF19" s="8">
        <f t="shared" si="28"/>
        <v>0.9194472377777777</v>
      </c>
      <c r="AG19" s="2">
        <v>900000</v>
      </c>
      <c r="AH19" s="8">
        <f t="shared" si="29"/>
        <v>1</v>
      </c>
      <c r="AI19" s="8">
        <f t="shared" si="2"/>
        <v>0.86837887320873264</v>
      </c>
      <c r="AJ19" s="2">
        <v>387011.54</v>
      </c>
      <c r="AK19" s="4">
        <f t="shared" si="3"/>
        <v>0.14089956128964312</v>
      </c>
      <c r="AL19" s="4">
        <f t="shared" si="9"/>
        <v>0.9833739995590467</v>
      </c>
      <c r="AM19" s="4">
        <f t="shared" si="10"/>
        <v>6.664590435509923E-3</v>
      </c>
      <c r="AN19" s="4">
        <f t="shared" si="11"/>
        <v>5.8900656429211086E-3</v>
      </c>
      <c r="AO19" s="4">
        <f t="shared" si="12"/>
        <v>1.2908350962774215E-3</v>
      </c>
      <c r="AP19" s="4">
        <f t="shared" si="13"/>
        <v>1.0787074949120314E-2</v>
      </c>
      <c r="AQ19" s="4">
        <f t="shared" si="14"/>
        <v>2.546125497977281E-4</v>
      </c>
      <c r="AR19" s="4">
        <f t="shared" si="15"/>
        <v>1.85406123216543E-4</v>
      </c>
    </row>
    <row r="20" spans="1:44" x14ac:dyDescent="0.25">
      <c r="A20">
        <f t="shared" si="16"/>
        <v>16</v>
      </c>
      <c r="B20" s="3">
        <f t="shared" si="30"/>
        <v>43136</v>
      </c>
      <c r="C20">
        <v>1205</v>
      </c>
      <c r="D20" s="2">
        <v>41322511.289999999</v>
      </c>
      <c r="E20" s="2">
        <v>7.49</v>
      </c>
      <c r="F20" s="8">
        <f t="shared" si="17"/>
        <v>0.91827760197367436</v>
      </c>
      <c r="G20" s="2">
        <v>299294.27</v>
      </c>
      <c r="H20" s="2"/>
      <c r="I20" s="2"/>
      <c r="J20" s="2"/>
      <c r="K20" s="2"/>
      <c r="L20" s="2"/>
      <c r="M20" s="2"/>
      <c r="N20" s="6">
        <f t="shared" si="4"/>
        <v>7.1754508403914542E-3</v>
      </c>
      <c r="O20" s="6">
        <f t="shared" si="22"/>
        <v>8.2787242050041177E-2</v>
      </c>
      <c r="P20" s="27">
        <f t="shared" si="23"/>
        <v>3.7185919399369473E-2</v>
      </c>
      <c r="Q20" s="27">
        <f t="shared" si="24"/>
        <v>3.5479674182164134E-2</v>
      </c>
      <c r="R20" s="27">
        <f t="shared" si="31"/>
        <v>2.9122993092451838E-2</v>
      </c>
      <c r="S20" s="26">
        <v>40517159.240000002</v>
      </c>
      <c r="T20" s="26">
        <v>251271.7</v>
      </c>
      <c r="U20" s="26">
        <v>384261.05</v>
      </c>
      <c r="V20" s="26">
        <v>39788.31</v>
      </c>
      <c r="W20" s="26">
        <v>30213.23</v>
      </c>
      <c r="X20" s="26">
        <v>39396.660000000003</v>
      </c>
      <c r="Y20" s="26">
        <v>0</v>
      </c>
      <c r="Z20" s="26">
        <f t="shared" si="25"/>
        <v>121135.64</v>
      </c>
      <c r="AA20" s="4">
        <f t="shared" si="26"/>
        <v>2.6919018602740469E-3</v>
      </c>
      <c r="AB20" s="2">
        <v>35832480.079999998</v>
      </c>
      <c r="AC20" s="4">
        <f t="shared" si="27"/>
        <v>0.90486060808080804</v>
      </c>
      <c r="AD20" s="2">
        <f t="shared" si="8"/>
        <v>30539045.522727273</v>
      </c>
      <c r="AE20" s="2">
        <v>4086000.26</v>
      </c>
      <c r="AF20" s="8">
        <f t="shared" si="28"/>
        <v>0.9080000577777777</v>
      </c>
      <c r="AG20" s="2">
        <v>900000</v>
      </c>
      <c r="AH20" s="8">
        <f t="shared" si="29"/>
        <v>1</v>
      </c>
      <c r="AI20" s="8">
        <f t="shared" si="2"/>
        <v>0.86714187887877514</v>
      </c>
      <c r="AJ20" s="2">
        <v>384846.37</v>
      </c>
      <c r="AK20" s="4">
        <f t="shared" si="3"/>
        <v>0.14217135882111095</v>
      </c>
      <c r="AL20" s="4">
        <f t="shared" si="9"/>
        <v>0.98051057341728187</v>
      </c>
      <c r="AM20" s="4">
        <f t="shared" si="10"/>
        <v>6.0807461152731892E-3</v>
      </c>
      <c r="AN20" s="4">
        <f t="shared" si="11"/>
        <v>9.2990730234972611E-3</v>
      </c>
      <c r="AO20" s="4">
        <f t="shared" si="12"/>
        <v>9.6287250599962266E-4</v>
      </c>
      <c r="AP20" s="4">
        <f t="shared" si="13"/>
        <v>7.3115667602979318E-4</v>
      </c>
      <c r="AQ20" s="4">
        <f t="shared" si="14"/>
        <v>9.5339462123963286E-4</v>
      </c>
      <c r="AR20" s="4">
        <f t="shared" si="15"/>
        <v>0</v>
      </c>
    </row>
    <row r="21" spans="1:44" x14ac:dyDescent="0.25">
      <c r="A21">
        <f t="shared" si="16"/>
        <v>17</v>
      </c>
      <c r="B21" s="3">
        <f t="shared" si="30"/>
        <v>43167</v>
      </c>
      <c r="C21">
        <v>1204</v>
      </c>
      <c r="D21" s="2">
        <v>41230358.719999999</v>
      </c>
      <c r="E21" s="2">
        <v>7.5</v>
      </c>
      <c r="F21" s="8">
        <f t="shared" si="17"/>
        <v>0.91622976803634559</v>
      </c>
      <c r="G21" s="2">
        <v>11341.15</v>
      </c>
      <c r="H21" s="2"/>
      <c r="I21" s="2"/>
      <c r="J21" s="2"/>
      <c r="K21" s="2"/>
      <c r="L21" s="2"/>
      <c r="M21" s="2"/>
      <c r="N21" s="6">
        <f t="shared" si="4"/>
        <v>2.7445451996874507E-4</v>
      </c>
      <c r="O21" s="6">
        <f t="shared" si="22"/>
        <v>3.2884873162449813E-3</v>
      </c>
      <c r="P21" s="27">
        <f t="shared" si="23"/>
        <v>3.8274664260888845E-2</v>
      </c>
      <c r="Q21" s="27">
        <f t="shared" si="24"/>
        <v>3.4733821302829503E-2</v>
      </c>
      <c r="R21" s="27">
        <f t="shared" si="31"/>
        <v>2.6795771458252442E-2</v>
      </c>
      <c r="S21" s="26">
        <v>40411899.939999998</v>
      </c>
      <c r="T21" s="26">
        <v>268353.45</v>
      </c>
      <c r="U21" s="26">
        <v>321462.24</v>
      </c>
      <c r="V21" s="26">
        <v>112665.64</v>
      </c>
      <c r="W21" s="26">
        <v>0</v>
      </c>
      <c r="X21" s="26">
        <v>26779.8</v>
      </c>
      <c r="Y21" s="26">
        <v>28778.55</v>
      </c>
      <c r="Z21" s="26">
        <v>149914.19</v>
      </c>
      <c r="AA21" s="4">
        <f t="shared" si="26"/>
        <v>3.331424896442343E-3</v>
      </c>
      <c r="AB21" s="2">
        <v>35711548.960000001</v>
      </c>
      <c r="AC21" s="4">
        <f t="shared" si="27"/>
        <v>0.901806791919192</v>
      </c>
      <c r="AD21" s="2">
        <f t="shared" si="8"/>
        <v>30435979.22727273</v>
      </c>
      <c r="AE21" s="2">
        <v>4085942.89</v>
      </c>
      <c r="AF21" s="8">
        <f t="shared" si="28"/>
        <v>0.9079873088888889</v>
      </c>
      <c r="AG21" s="2">
        <v>900000</v>
      </c>
      <c r="AH21" s="8">
        <f t="shared" si="29"/>
        <v>1</v>
      </c>
      <c r="AI21" s="8">
        <f t="shared" si="2"/>
        <v>0.86614693804924536</v>
      </c>
      <c r="AJ21" s="2">
        <v>380720.1</v>
      </c>
      <c r="AK21" s="4">
        <f t="shared" si="3"/>
        <v>0.14308703691045643</v>
      </c>
      <c r="AL21" s="4">
        <f t="shared" si="9"/>
        <v>0.98014912299070089</v>
      </c>
      <c r="AM21" s="4">
        <f t="shared" si="10"/>
        <v>6.5086372840561114E-3</v>
      </c>
      <c r="AN21" s="4">
        <f t="shared" si="11"/>
        <v>7.7967364335364189E-3</v>
      </c>
      <c r="AO21" s="4">
        <f t="shared" si="12"/>
        <v>2.7325893709808599E-3</v>
      </c>
      <c r="AP21" s="4">
        <f t="shared" si="13"/>
        <v>0</v>
      </c>
      <c r="AQ21" s="4">
        <f t="shared" si="14"/>
        <v>6.4951654148499242E-4</v>
      </c>
      <c r="AR21" s="4">
        <f t="shared" si="15"/>
        <v>6.9799416967090608E-4</v>
      </c>
    </row>
    <row r="22" spans="1:44" x14ac:dyDescent="0.25">
      <c r="A22">
        <f t="shared" si="16"/>
        <v>18</v>
      </c>
      <c r="B22" s="3">
        <f t="shared" si="30"/>
        <v>43198</v>
      </c>
      <c r="C22">
        <v>1196</v>
      </c>
      <c r="D22" s="2">
        <v>40900717.700000003</v>
      </c>
      <c r="E22" s="2">
        <v>7.5</v>
      </c>
      <c r="F22" s="8">
        <f t="shared" si="17"/>
        <v>0.90890441544019285</v>
      </c>
      <c r="G22" s="2">
        <v>192897.57</v>
      </c>
      <c r="H22" s="2"/>
      <c r="I22" s="2"/>
      <c r="J22" s="2"/>
      <c r="K22" s="2"/>
      <c r="L22" s="2"/>
      <c r="M22" s="2"/>
      <c r="N22" s="6">
        <f t="shared" si="4"/>
        <v>4.6785324209762296E-3</v>
      </c>
      <c r="O22" s="6">
        <f t="shared" si="22"/>
        <v>5.4720031228545407E-2</v>
      </c>
      <c r="P22" s="27">
        <f t="shared" si="23"/>
        <v>4.6931920198277188E-2</v>
      </c>
      <c r="Q22" s="27">
        <f t="shared" si="24"/>
        <v>3.7551401764390147E-2</v>
      </c>
      <c r="R22" s="27">
        <f t="shared" si="31"/>
        <v>2.8605650391301963E-2</v>
      </c>
      <c r="S22" s="26">
        <v>39839021.5</v>
      </c>
      <c r="T22" s="26">
        <v>350586.89</v>
      </c>
      <c r="U22" s="26">
        <v>263117.77</v>
      </c>
      <c r="V22" s="26">
        <v>238773.25</v>
      </c>
      <c r="W22" s="26">
        <v>79400.53</v>
      </c>
      <c r="X22" s="26">
        <v>10620.11</v>
      </c>
      <c r="Y22" s="26">
        <v>0</v>
      </c>
      <c r="Z22" s="26">
        <v>149914.19</v>
      </c>
      <c r="AA22" s="4">
        <f t="shared" si="26"/>
        <v>3.331424896442343E-3</v>
      </c>
      <c r="AB22" s="2">
        <v>35381907.939999998</v>
      </c>
      <c r="AC22" s="4">
        <f t="shared" si="27"/>
        <v>0.89348252373737369</v>
      </c>
      <c r="AD22" s="2">
        <f t="shared" si="8"/>
        <v>30155035.176136363</v>
      </c>
      <c r="AE22" s="2">
        <v>4076966.25</v>
      </c>
      <c r="AF22" s="8">
        <f t="shared" si="28"/>
        <v>0.90599249999999998</v>
      </c>
      <c r="AG22" s="2">
        <v>900000</v>
      </c>
      <c r="AH22" s="8">
        <f t="shared" si="29"/>
        <v>1</v>
      </c>
      <c r="AI22" s="8">
        <f t="shared" si="2"/>
        <v>0.86506814377978491</v>
      </c>
      <c r="AJ22" s="2">
        <v>379435.21</v>
      </c>
      <c r="AK22" s="4">
        <f t="shared" si="3"/>
        <v>0.14420883792951159</v>
      </c>
      <c r="AL22" s="4">
        <f t="shared" si="9"/>
        <v>0.97404211320233136</v>
      </c>
      <c r="AM22" s="4">
        <f t="shared" si="10"/>
        <v>8.5716561888105943E-3</v>
      </c>
      <c r="AN22" s="4">
        <f t="shared" si="11"/>
        <v>6.4330844248241641E-3</v>
      </c>
      <c r="AO22" s="4">
        <f t="shared" si="12"/>
        <v>5.8378743314814741E-3</v>
      </c>
      <c r="AP22" s="4">
        <f t="shared" si="13"/>
        <v>1.941299186542147E-3</v>
      </c>
      <c r="AQ22" s="4">
        <f t="shared" si="14"/>
        <v>2.5965583484125512E-4</v>
      </c>
      <c r="AR22" s="4">
        <f t="shared" si="15"/>
        <v>0</v>
      </c>
    </row>
    <row r="23" spans="1:44" x14ac:dyDescent="0.25">
      <c r="A23">
        <f t="shared" si="16"/>
        <v>19</v>
      </c>
      <c r="B23" s="3">
        <f t="shared" si="30"/>
        <v>43229</v>
      </c>
      <c r="C23">
        <v>1194</v>
      </c>
      <c r="D23" s="2">
        <v>40750410.200000003</v>
      </c>
      <c r="E23" s="2">
        <v>7.5</v>
      </c>
      <c r="F23" s="8">
        <f t="shared" si="17"/>
        <v>0.90556425032558963</v>
      </c>
      <c r="G23" s="2">
        <v>75739.08</v>
      </c>
      <c r="H23" s="2"/>
      <c r="I23" s="2"/>
      <c r="J23" s="2"/>
      <c r="K23" s="2"/>
      <c r="L23" s="2"/>
      <c r="M23" s="2"/>
      <c r="N23" s="6">
        <f t="shared" si="4"/>
        <v>1.8517787525278559E-3</v>
      </c>
      <c r="O23" s="6">
        <f t="shared" ref="O23" si="32">1-(+N23-1)^12</f>
        <v>2.199641662613594E-2</v>
      </c>
      <c r="P23" s="27">
        <f t="shared" ref="P23" si="33">AVERAGE(O21:O23)</f>
        <v>2.6668311723642108E-2</v>
      </c>
      <c r="Q23" s="27">
        <f t="shared" ref="Q23" si="34">AVERAGE(O18:O23)</f>
        <v>3.1927115561505792E-2</v>
      </c>
      <c r="R23" s="27">
        <f t="shared" ref="R23" si="35">AVERAGE(O12:O23)</f>
        <v>2.9062050317646648E-2</v>
      </c>
      <c r="S23" s="26">
        <v>39800389.310000002</v>
      </c>
      <c r="T23" s="26">
        <v>274367.71999999997</v>
      </c>
      <c r="U23" s="26">
        <v>249098.7</v>
      </c>
      <c r="V23" s="26">
        <v>196746.31</v>
      </c>
      <c r="W23" s="26">
        <v>66749.56</v>
      </c>
      <c r="X23" s="26">
        <v>73860.95</v>
      </c>
      <c r="Y23" s="26">
        <v>0</v>
      </c>
      <c r="Z23" s="26">
        <v>149914.19</v>
      </c>
      <c r="AA23" s="4">
        <f t="shared" si="26"/>
        <v>3.331424896442343E-3</v>
      </c>
      <c r="AB23" s="2">
        <v>35218805.719999999</v>
      </c>
      <c r="AC23" s="4">
        <f t="shared" si="27"/>
        <v>0.88936378080808076</v>
      </c>
      <c r="AD23" s="2">
        <f t="shared" si="8"/>
        <v>30016027.602272727</v>
      </c>
      <c r="AE23" s="2">
        <v>3988642.83</v>
      </c>
      <c r="AF23" s="8">
        <f t="shared" si="28"/>
        <v>0.88636507333333336</v>
      </c>
      <c r="AG23" s="2">
        <v>900000</v>
      </c>
      <c r="AH23" s="8">
        <f t="shared" si="29"/>
        <v>1</v>
      </c>
      <c r="AI23" s="8">
        <f t="shared" si="2"/>
        <v>0.86425647121461358</v>
      </c>
      <c r="AJ23" s="2">
        <v>375932.77</v>
      </c>
      <c r="AK23" s="4">
        <f t="shared" si="3"/>
        <v>0.14496877997071075</v>
      </c>
      <c r="AL23" s="4">
        <f t="shared" si="9"/>
        <v>0.97668683860267003</v>
      </c>
      <c r="AM23" s="4">
        <f t="shared" si="10"/>
        <v>6.732882409119895E-3</v>
      </c>
      <c r="AN23" s="4">
        <f t="shared" si="11"/>
        <v>6.112790000823108E-3</v>
      </c>
      <c r="AO23" s="4">
        <f t="shared" si="12"/>
        <v>4.8280817060339671E-3</v>
      </c>
      <c r="AP23" s="4">
        <f t="shared" si="13"/>
        <v>1.6380095236440096E-3</v>
      </c>
      <c r="AQ23" s="4">
        <f t="shared" si="14"/>
        <v>1.8125204050093216E-3</v>
      </c>
      <c r="AR23" s="4">
        <f t="shared" si="15"/>
        <v>0</v>
      </c>
    </row>
    <row r="24" spans="1:44" x14ac:dyDescent="0.25">
      <c r="A24">
        <f t="shared" si="16"/>
        <v>20</v>
      </c>
      <c r="B24" s="3">
        <f t="shared" si="30"/>
        <v>43260</v>
      </c>
      <c r="C24">
        <v>1188</v>
      </c>
      <c r="D24" s="2">
        <v>40449659.759999998</v>
      </c>
      <c r="E24" s="2">
        <v>7.5</v>
      </c>
      <c r="F24" s="8">
        <f t="shared" ref="F24:F29" si="36">+D24/D$4</f>
        <v>0.89888091032000372</v>
      </c>
      <c r="G24" s="2">
        <v>225647.96</v>
      </c>
      <c r="H24" s="2"/>
      <c r="I24" s="2"/>
      <c r="J24" s="2"/>
      <c r="K24" s="2"/>
      <c r="L24" s="2"/>
      <c r="M24" s="2"/>
      <c r="N24" s="6">
        <f t="shared" si="4"/>
        <v>5.5373175114688776E-3</v>
      </c>
      <c r="O24" s="6">
        <f t="shared" ref="O24" si="37">1-(+N24-1)^12</f>
        <v>6.4461017045324587E-2</v>
      </c>
      <c r="P24" s="27">
        <f t="shared" ref="P24" si="38">AVERAGE(O22:O24)</f>
        <v>4.7059154966668647E-2</v>
      </c>
      <c r="Q24" s="27">
        <f t="shared" ref="Q24" si="39">AVERAGE(O19:O24)</f>
        <v>4.2666909613778746E-2</v>
      </c>
      <c r="R24" s="27">
        <f t="shared" ref="R24" si="40">AVERAGE(O13:O24)</f>
        <v>3.388280747814678E-2</v>
      </c>
      <c r="S24" s="26">
        <v>39336375.359999999</v>
      </c>
      <c r="T24" s="26">
        <v>388543.84</v>
      </c>
      <c r="U24" s="26">
        <v>391090.92</v>
      </c>
      <c r="V24" s="26">
        <v>26110.99</v>
      </c>
      <c r="W24" s="26">
        <v>158487.4</v>
      </c>
      <c r="X24" s="26">
        <v>26779.8</v>
      </c>
      <c r="Y24" s="26">
        <v>33073.800000000003</v>
      </c>
      <c r="Z24" s="26">
        <f t="shared" ref="Z24:Z29" si="41">+Z23+Y24</f>
        <v>182987.99</v>
      </c>
      <c r="AA24" s="4">
        <f t="shared" ref="AA24:AA29" si="42">+Z24/$D$4</f>
        <v>4.0663978882582259E-3</v>
      </c>
      <c r="AB24" s="2">
        <v>34884981.479999997</v>
      </c>
      <c r="AC24" s="4">
        <f t="shared" ref="AC24:AC29" si="43">+AB24/AB$4</f>
        <v>0.88093387575757565</v>
      </c>
      <c r="AD24" s="2">
        <f t="shared" si="8"/>
        <v>29731518.30681818</v>
      </c>
      <c r="AE24" s="2">
        <v>3973580.34</v>
      </c>
      <c r="AF24" s="8">
        <f t="shared" ref="AF24:AF29" si="44">+AE24/$AE$4</f>
        <v>0.88301785333333327</v>
      </c>
      <c r="AG24" s="2">
        <v>900000</v>
      </c>
      <c r="AH24" s="8">
        <f t="shared" ref="AH24:AH27" si="45">+AG24/$AG$4</f>
        <v>1</v>
      </c>
      <c r="AI24" s="8">
        <f t="shared" si="2"/>
        <v>0.86242954049510157</v>
      </c>
      <c r="AJ24" s="2">
        <v>374199.81</v>
      </c>
      <c r="AK24" s="4">
        <f t="shared" si="3"/>
        <v>0.14682145969180344</v>
      </c>
      <c r="AL24" s="4">
        <f t="shared" si="9"/>
        <v>0.97247728641957809</v>
      </c>
      <c r="AM24" s="4">
        <f t="shared" si="10"/>
        <v>9.6056145417624649E-3</v>
      </c>
      <c r="AN24" s="4">
        <f t="shared" si="11"/>
        <v>9.6685836746331147E-3</v>
      </c>
      <c r="AO24" s="4">
        <f t="shared" si="12"/>
        <v>6.4551816146104471E-4</v>
      </c>
      <c r="AP24" s="4">
        <f t="shared" si="13"/>
        <v>3.9181392610062342E-3</v>
      </c>
      <c r="AQ24" s="4">
        <f t="shared" si="14"/>
        <v>6.6205254034008224E-4</v>
      </c>
      <c r="AR24" s="4">
        <f t="shared" si="15"/>
        <v>8.1765335471884826E-4</v>
      </c>
    </row>
    <row r="25" spans="1:44" x14ac:dyDescent="0.25">
      <c r="A25">
        <f t="shared" si="16"/>
        <v>21</v>
      </c>
      <c r="B25" s="3">
        <f t="shared" si="30"/>
        <v>43291</v>
      </c>
      <c r="C25">
        <v>1181</v>
      </c>
      <c r="D25" s="2">
        <v>40152205.340000004</v>
      </c>
      <c r="E25" s="44">
        <v>7.5</v>
      </c>
      <c r="F25" s="8">
        <f t="shared" si="36"/>
        <v>0.89227081516927242</v>
      </c>
      <c r="G25" s="2">
        <v>193233.25</v>
      </c>
      <c r="H25" s="2"/>
      <c r="I25" s="2"/>
      <c r="J25" s="2"/>
      <c r="K25" s="2"/>
      <c r="L25" s="2"/>
      <c r="M25" s="2"/>
      <c r="N25" s="6">
        <f t="shared" si="4"/>
        <v>4.7771291809748468E-3</v>
      </c>
      <c r="O25" s="6">
        <f t="shared" ref="O25" si="46">1-(+N25-1)^12</f>
        <v>5.5843094876659505E-2</v>
      </c>
      <c r="P25" s="27">
        <f t="shared" ref="P25" si="47">AVERAGE(O23:O25)</f>
        <v>4.7433509516040008E-2</v>
      </c>
      <c r="Q25" s="27">
        <f t="shared" ref="Q25" si="48">AVERAGE(O20:O25)</f>
        <v>4.7182714857158602E-2</v>
      </c>
      <c r="R25" s="27">
        <f t="shared" ref="R25" si="49">AVERAGE(O14:O25)</f>
        <v>3.65300354120974E-2</v>
      </c>
      <c r="S25" s="26">
        <v>39109211.340000004</v>
      </c>
      <c r="T25" s="26">
        <v>265137.40999999997</v>
      </c>
      <c r="U25" s="26">
        <v>430170.51</v>
      </c>
      <c r="V25" s="26">
        <v>40174.43</v>
      </c>
      <c r="W25" s="26">
        <v>52216.01</v>
      </c>
      <c r="X25" s="26">
        <v>116891.5</v>
      </c>
      <c r="Y25" s="26">
        <v>16159.69</v>
      </c>
      <c r="Z25" s="26">
        <f t="shared" si="41"/>
        <v>199147.68</v>
      </c>
      <c r="AA25" s="4">
        <f t="shared" si="42"/>
        <v>4.4255019436167638E-3</v>
      </c>
      <c r="AB25" s="2">
        <v>34571367.369999997</v>
      </c>
      <c r="AC25" s="4">
        <f t="shared" si="43"/>
        <v>0.87301432752525243</v>
      </c>
      <c r="AD25" s="2">
        <f t="shared" si="8"/>
        <v>29464233.55397727</v>
      </c>
      <c r="AE25" s="2">
        <v>3972465.31</v>
      </c>
      <c r="AF25" s="8">
        <f t="shared" si="44"/>
        <v>0.88277006888888887</v>
      </c>
      <c r="AG25" s="2">
        <v>900000</v>
      </c>
      <c r="AH25" s="8">
        <f t="shared" si="45"/>
        <v>1</v>
      </c>
      <c r="AI25" s="8">
        <f t="shared" si="2"/>
        <v>0.86100793411612875</v>
      </c>
      <c r="AJ25" s="2">
        <v>370652.93</v>
      </c>
      <c r="AK25" s="4">
        <f t="shared" si="3"/>
        <v>0.14822326319573473</v>
      </c>
      <c r="AL25" s="4">
        <f t="shared" si="9"/>
        <v>0.97402399217756142</v>
      </c>
      <c r="AM25" s="4">
        <f t="shared" si="10"/>
        <v>6.6033087785558721E-3</v>
      </c>
      <c r="AN25" s="4">
        <f t="shared" si="11"/>
        <v>1.0713496465696247E-2</v>
      </c>
      <c r="AO25" s="4">
        <f t="shared" si="12"/>
        <v>1.0005535103193412E-3</v>
      </c>
      <c r="AP25" s="4">
        <f t="shared" si="13"/>
        <v>1.3004518570735122E-3</v>
      </c>
      <c r="AQ25" s="4">
        <f t="shared" si="14"/>
        <v>2.911209957465315E-3</v>
      </c>
      <c r="AR25" s="4">
        <f t="shared" si="15"/>
        <v>4.0246083280266466E-4</v>
      </c>
    </row>
    <row r="26" spans="1:44" x14ac:dyDescent="0.25">
      <c r="A26">
        <f t="shared" si="16"/>
        <v>22</v>
      </c>
      <c r="B26" s="3">
        <f t="shared" si="30"/>
        <v>43322</v>
      </c>
      <c r="C26">
        <v>1177</v>
      </c>
      <c r="D26" s="2">
        <v>39880220.670000002</v>
      </c>
      <c r="E26" s="44">
        <v>7.5</v>
      </c>
      <c r="F26" s="8">
        <f t="shared" si="36"/>
        <v>0.88622671419998689</v>
      </c>
      <c r="G26" s="2">
        <v>185034.91</v>
      </c>
      <c r="H26" s="2"/>
      <c r="I26" s="2"/>
      <c r="J26" s="2"/>
      <c r="K26" s="2"/>
      <c r="L26" s="2"/>
      <c r="M26" s="2"/>
      <c r="N26" s="6">
        <f t="shared" si="4"/>
        <v>4.6083374109383351E-3</v>
      </c>
      <c r="O26" s="6">
        <f t="shared" ref="O26" si="50">1-(+N26-1)^12</f>
        <v>5.3919730827604817E-2</v>
      </c>
      <c r="P26" s="27">
        <f t="shared" ref="P26" si="51">AVERAGE(O24:O26)</f>
        <v>5.8074614249862967E-2</v>
      </c>
      <c r="Q26" s="27">
        <f t="shared" ref="Q26" si="52">AVERAGE(O21:O26)</f>
        <v>4.2371462986752539E-2</v>
      </c>
      <c r="R26" s="27">
        <f t="shared" ref="R26" si="53">AVERAGE(O15:O26)</f>
        <v>3.8925568584458337E-2</v>
      </c>
      <c r="S26" s="26">
        <v>38640495.770000003</v>
      </c>
      <c r="T26" s="26">
        <v>557909.51</v>
      </c>
      <c r="U26" s="26">
        <v>195266.27</v>
      </c>
      <c r="V26" s="26">
        <v>85761.74</v>
      </c>
      <c r="W26" s="26">
        <v>102885.22</v>
      </c>
      <c r="X26" s="26">
        <v>62836.12</v>
      </c>
      <c r="Y26" s="26">
        <v>96634.9</v>
      </c>
      <c r="Z26" s="26">
        <f t="shared" si="41"/>
        <v>295782.57999999996</v>
      </c>
      <c r="AA26" s="4">
        <f t="shared" si="42"/>
        <v>6.5729431679946299E-3</v>
      </c>
      <c r="AB26" s="2">
        <v>34233639.960000001</v>
      </c>
      <c r="AC26" s="4">
        <f t="shared" si="43"/>
        <v>0.86448585757575758</v>
      </c>
      <c r="AD26" s="2">
        <f t="shared" si="8"/>
        <v>29176397.69318182</v>
      </c>
      <c r="AE26" s="2">
        <v>3942465.31</v>
      </c>
      <c r="AF26" s="8">
        <f t="shared" si="44"/>
        <v>0.87610340222222227</v>
      </c>
      <c r="AG26" s="2">
        <v>900000</v>
      </c>
      <c r="AH26" s="8">
        <f t="shared" si="45"/>
        <v>1</v>
      </c>
      <c r="AI26" s="8">
        <f t="shared" si="2"/>
        <v>0.85841149785192494</v>
      </c>
      <c r="AJ26" s="2">
        <v>367320.76</v>
      </c>
      <c r="AK26" s="4">
        <f t="shared" si="3"/>
        <v>0.15079910213545963</v>
      </c>
      <c r="AL26" s="4">
        <f t="shared" si="9"/>
        <v>0.96891379036594483</v>
      </c>
      <c r="AM26" s="4">
        <f t="shared" si="10"/>
        <v>1.3989629461094956E-2</v>
      </c>
      <c r="AN26" s="4">
        <f t="shared" si="11"/>
        <v>4.8963186943167926E-3</v>
      </c>
      <c r="AO26" s="4">
        <f t="shared" si="12"/>
        <v>2.1504830855791752E-3</v>
      </c>
      <c r="AP26" s="4">
        <f t="shared" si="13"/>
        <v>2.5798558350855786E-3</v>
      </c>
      <c r="AQ26" s="4">
        <f t="shared" si="14"/>
        <v>1.5756211712055204E-3</v>
      </c>
      <c r="AR26" s="4">
        <f t="shared" si="15"/>
        <v>2.4231285177590263E-3</v>
      </c>
    </row>
    <row r="27" spans="1:44" x14ac:dyDescent="0.25">
      <c r="A27">
        <f t="shared" si="16"/>
        <v>23</v>
      </c>
      <c r="B27" s="3">
        <f t="shared" si="30"/>
        <v>43353</v>
      </c>
      <c r="C27">
        <v>1174</v>
      </c>
      <c r="D27" s="2">
        <v>39663233.840000004</v>
      </c>
      <c r="E27" s="44">
        <v>7.5</v>
      </c>
      <c r="F27" s="8">
        <f t="shared" si="36"/>
        <v>0.88140478688502033</v>
      </c>
      <c r="G27" s="2">
        <v>70568.88</v>
      </c>
      <c r="H27" s="2"/>
      <c r="I27" s="2"/>
      <c r="J27" s="2"/>
      <c r="K27" s="2"/>
      <c r="L27" s="2"/>
      <c r="M27" s="2"/>
      <c r="N27" s="6">
        <f t="shared" si="4"/>
        <v>1.7695208003973165E-3</v>
      </c>
      <c r="O27" s="6">
        <f t="shared" ref="O27" si="54">1-(+N27-1)^12</f>
        <v>2.1028804271002621E-2</v>
      </c>
      <c r="P27" s="27">
        <f t="shared" ref="P27" si="55">AVERAGE(O25:O27)</f>
        <v>4.3597209991755648E-2</v>
      </c>
      <c r="Q27" s="27">
        <f t="shared" ref="Q27" si="56">AVERAGE(O22:O27)</f>
        <v>4.5328182479212144E-2</v>
      </c>
      <c r="R27" s="27">
        <f t="shared" ref="R27" si="57">AVERAGE(O16:O27)</f>
        <v>4.0031001891020823E-2</v>
      </c>
      <c r="S27" s="26">
        <v>38357143.899999999</v>
      </c>
      <c r="T27" s="26">
        <v>612510.5</v>
      </c>
      <c r="U27" s="26">
        <v>343157.21</v>
      </c>
      <c r="V27" s="26">
        <v>26566.85</v>
      </c>
      <c r="W27" s="26">
        <v>36573.33</v>
      </c>
      <c r="X27" s="26">
        <v>52216.01</v>
      </c>
      <c r="Y27" s="26">
        <v>0</v>
      </c>
      <c r="Z27" s="26">
        <f t="shared" si="41"/>
        <v>295782.57999999996</v>
      </c>
      <c r="AA27" s="4">
        <f t="shared" si="42"/>
        <v>6.5729431679946299E-3</v>
      </c>
      <c r="AB27" s="2">
        <v>33985760.969999999</v>
      </c>
      <c r="AC27" s="4">
        <f t="shared" si="43"/>
        <v>0.85822628712121207</v>
      </c>
      <c r="AD27" s="2">
        <f t="shared" si="8"/>
        <v>28965137.19034091</v>
      </c>
      <c r="AE27" s="2">
        <v>3942417.83</v>
      </c>
      <c r="AF27" s="8">
        <f t="shared" si="44"/>
        <v>0.87609285111111113</v>
      </c>
      <c r="AG27" s="2">
        <v>900000</v>
      </c>
      <c r="AH27" s="8">
        <f t="shared" si="45"/>
        <v>1</v>
      </c>
      <c r="AI27" s="8">
        <f t="shared" si="2"/>
        <v>0.85685804407924182</v>
      </c>
      <c r="AJ27" s="2">
        <v>363732.42</v>
      </c>
      <c r="AK27" s="4">
        <f t="shared" si="3"/>
        <v>0.15231247442833334</v>
      </c>
      <c r="AL27" s="4">
        <f t="shared" si="9"/>
        <v>0.96707051307846648</v>
      </c>
      <c r="AM27" s="4">
        <f t="shared" si="10"/>
        <v>1.5442777622995753E-2</v>
      </c>
      <c r="AN27" s="4">
        <f t="shared" si="11"/>
        <v>8.6517708410837942E-3</v>
      </c>
      <c r="AO27" s="4">
        <f t="shared" si="12"/>
        <v>6.6981048764630925E-4</v>
      </c>
      <c r="AP27" s="4">
        <f t="shared" si="13"/>
        <v>9.2209652262685994E-4</v>
      </c>
      <c r="AQ27" s="4">
        <f t="shared" si="14"/>
        <v>1.3164839309532206E-3</v>
      </c>
      <c r="AR27" s="4">
        <f t="shared" si="15"/>
        <v>0</v>
      </c>
    </row>
    <row r="28" spans="1:44" x14ac:dyDescent="0.25">
      <c r="A28">
        <f t="shared" si="16"/>
        <v>24</v>
      </c>
      <c r="B28" s="3">
        <f t="shared" si="30"/>
        <v>43384</v>
      </c>
      <c r="C28">
        <v>1168</v>
      </c>
      <c r="D28" s="2">
        <v>39394079.509999998</v>
      </c>
      <c r="E28" s="44">
        <v>7.5</v>
      </c>
      <c r="F28" s="8">
        <f t="shared" si="36"/>
        <v>0.87542358233095319</v>
      </c>
      <c r="G28" s="2">
        <v>155155.31</v>
      </c>
      <c r="H28" s="2"/>
      <c r="I28" s="2"/>
      <c r="J28" s="2"/>
      <c r="K28" s="2"/>
      <c r="L28" s="2"/>
      <c r="M28" s="2"/>
      <c r="N28" s="6">
        <f t="shared" si="4"/>
        <v>3.9118169392311957E-3</v>
      </c>
      <c r="O28" s="6">
        <f t="shared" ref="O28:O29" si="58">1-(+N28-1)^12</f>
        <v>4.59449046721353E-2</v>
      </c>
      <c r="P28" s="27">
        <f t="shared" ref="P28:P29" si="59">AVERAGE(O26:O28)</f>
        <v>4.0297813256914249E-2</v>
      </c>
      <c r="Q28" s="27">
        <f t="shared" ref="Q28:Q29" si="60">AVERAGE(O23:O28)</f>
        <v>4.3865661386477128E-2</v>
      </c>
      <c r="R28" s="27">
        <f t="shared" ref="R28:R29" si="61">AVERAGE(O17:O28)</f>
        <v>4.0708531575433637E-2</v>
      </c>
      <c r="S28" s="26">
        <v>38070447.560000002</v>
      </c>
      <c r="T28" s="26">
        <v>470706.92</v>
      </c>
      <c r="U28" s="26">
        <v>396747.96</v>
      </c>
      <c r="V28" s="26">
        <v>127752.97</v>
      </c>
      <c r="W28" s="26">
        <v>84255.84</v>
      </c>
      <c r="X28" s="26">
        <v>0</v>
      </c>
      <c r="Y28" s="26">
        <v>78169.23</v>
      </c>
      <c r="Z28" s="26">
        <f t="shared" si="41"/>
        <v>373951.80999999994</v>
      </c>
      <c r="AA28" s="4">
        <f t="shared" si="42"/>
        <v>8.310036360825326E-3</v>
      </c>
      <c r="AB28" s="2">
        <v>33707504.420000002</v>
      </c>
      <c r="AC28" s="4">
        <f t="shared" si="43"/>
        <v>0.85119960656565663</v>
      </c>
      <c r="AD28" s="2">
        <f t="shared" si="8"/>
        <v>28727986.72159091</v>
      </c>
      <c r="AE28" s="2">
        <v>3937307.84</v>
      </c>
      <c r="AF28" s="8">
        <f t="shared" si="44"/>
        <v>0.87495729777777775</v>
      </c>
      <c r="AG28" s="2">
        <v>900000</v>
      </c>
      <c r="AH28" s="8">
        <f t="shared" ref="AH28:AH29" si="62">+AG28/$AG$4</f>
        <v>1</v>
      </c>
      <c r="AI28" s="8">
        <f t="shared" si="2"/>
        <v>0.85564899191117061</v>
      </c>
      <c r="AJ28" s="2">
        <v>361098.71</v>
      </c>
      <c r="AK28" s="4">
        <f t="shared" si="3"/>
        <v>0.15351732735536627</v>
      </c>
      <c r="AL28" s="4">
        <f t="shared" si="9"/>
        <v>0.96640023154585963</v>
      </c>
      <c r="AM28" s="4">
        <f t="shared" si="10"/>
        <v>1.1948671624133603E-2</v>
      </c>
      <c r="AN28" s="4">
        <f t="shared" si="11"/>
        <v>1.0071258547855838E-2</v>
      </c>
      <c r="AO28" s="4">
        <f t="shared" si="12"/>
        <v>3.2429484731981242E-3</v>
      </c>
      <c r="AP28" s="4">
        <f t="shared" si="13"/>
        <v>2.13879448505992E-3</v>
      </c>
      <c r="AQ28" s="4">
        <f t="shared" si="14"/>
        <v>0</v>
      </c>
      <c r="AR28" s="4">
        <f t="shared" si="15"/>
        <v>1.9842887807584668E-3</v>
      </c>
    </row>
    <row r="29" spans="1:44" x14ac:dyDescent="0.25">
      <c r="A29">
        <f t="shared" si="16"/>
        <v>25</v>
      </c>
      <c r="B29" s="3">
        <f t="shared" si="30"/>
        <v>43415</v>
      </c>
      <c r="C29">
        <v>1161</v>
      </c>
      <c r="D29" s="2">
        <v>38944130.729999997</v>
      </c>
      <c r="E29" s="44">
        <v>7.5</v>
      </c>
      <c r="F29" s="8">
        <f t="shared" si="36"/>
        <v>0.86542472519931102</v>
      </c>
      <c r="G29" s="2">
        <v>174580.54</v>
      </c>
      <c r="H29" s="2"/>
      <c r="I29" s="2"/>
      <c r="J29" s="2"/>
      <c r="K29" s="2"/>
      <c r="L29" s="2"/>
      <c r="M29" s="2"/>
      <c r="N29" s="6">
        <f t="shared" si="4"/>
        <v>4.4316440991008198E-3</v>
      </c>
      <c r="O29" s="6">
        <f t="shared" si="58"/>
        <v>5.1902482358922586E-2</v>
      </c>
      <c r="P29" s="27">
        <f t="shared" si="59"/>
        <v>3.9625397100686834E-2</v>
      </c>
      <c r="Q29" s="27">
        <f t="shared" si="60"/>
        <v>4.88500056752749E-2</v>
      </c>
      <c r="R29" s="27">
        <f t="shared" si="61"/>
        <v>4.038856061839035E-2</v>
      </c>
      <c r="S29" s="26">
        <v>37563289.289999999</v>
      </c>
      <c r="T29" s="26">
        <v>648915.67000000004</v>
      </c>
      <c r="U29" s="26">
        <v>313315.25</v>
      </c>
      <c r="V29" s="26">
        <v>130748.35</v>
      </c>
      <c r="W29" s="26">
        <v>43693.91</v>
      </c>
      <c r="X29" s="26">
        <v>25953.22</v>
      </c>
      <c r="Y29" s="26">
        <v>0</v>
      </c>
      <c r="Z29" s="26">
        <f t="shared" si="41"/>
        <v>373951.80999999994</v>
      </c>
      <c r="AA29" s="4">
        <f t="shared" si="42"/>
        <v>8.310036360825326E-3</v>
      </c>
      <c r="AB29" s="2">
        <v>33283508.859999999</v>
      </c>
      <c r="AC29" s="4">
        <f t="shared" si="43"/>
        <v>0.84049264797979795</v>
      </c>
      <c r="AD29" s="2">
        <f t="shared" si="8"/>
        <v>28366626.869318184</v>
      </c>
      <c r="AE29" s="2">
        <v>3862616.57</v>
      </c>
      <c r="AF29" s="8">
        <f t="shared" si="44"/>
        <v>0.85835923777777778</v>
      </c>
      <c r="AG29" s="2">
        <v>900000</v>
      </c>
      <c r="AH29" s="8">
        <f t="shared" si="62"/>
        <v>1</v>
      </c>
      <c r="AI29" s="8">
        <f t="shared" si="2"/>
        <v>0.85464762561411012</v>
      </c>
      <c r="AJ29" s="2">
        <v>358142.23</v>
      </c>
      <c r="AK29" s="4">
        <f t="shared" si="3"/>
        <v>0.15454868261736637</v>
      </c>
      <c r="AL29" s="4">
        <f t="shared" si="9"/>
        <v>0.96454301549125887</v>
      </c>
      <c r="AM29" s="4">
        <f t="shared" si="10"/>
        <v>1.6662733455239716E-2</v>
      </c>
      <c r="AN29" s="4">
        <f t="shared" si="11"/>
        <v>8.0452495440768053E-3</v>
      </c>
      <c r="AO29" s="4">
        <f t="shared" si="12"/>
        <v>3.3573313243651392E-3</v>
      </c>
      <c r="AP29" s="4">
        <f t="shared" si="13"/>
        <v>1.1219639309176079E-3</v>
      </c>
      <c r="AQ29" s="4">
        <f t="shared" si="14"/>
        <v>6.6642185904556206E-4</v>
      </c>
      <c r="AR29" s="4">
        <f t="shared" si="15"/>
        <v>0</v>
      </c>
    </row>
    <row r="30" spans="1:44" x14ac:dyDescent="0.25">
      <c r="A30">
        <f t="shared" si="16"/>
        <v>26</v>
      </c>
      <c r="B30" s="3">
        <f t="shared" si="30"/>
        <v>43446</v>
      </c>
      <c r="C30">
        <v>1155</v>
      </c>
      <c r="D30" s="2">
        <v>38720451.890000001</v>
      </c>
      <c r="E30" s="44">
        <v>7.5</v>
      </c>
      <c r="F30" s="8">
        <f t="shared" ref="F30:F34" si="63">+D30/D$4</f>
        <v>0.86045408662011225</v>
      </c>
      <c r="G30" s="2">
        <v>159076.70000000001</v>
      </c>
      <c r="H30" s="2"/>
      <c r="I30" s="2"/>
      <c r="J30" s="2"/>
      <c r="K30" s="2"/>
      <c r="L30" s="2"/>
      <c r="M30" s="2"/>
      <c r="N30" s="6">
        <f t="shared" si="4"/>
        <v>4.084741320916371E-3</v>
      </c>
      <c r="O30" s="6">
        <f t="shared" ref="O30:O32" si="64">1-(+N30-1)^12</f>
        <v>4.793053553366966E-2</v>
      </c>
      <c r="P30" s="27">
        <f t="shared" ref="P30:P32" si="65">AVERAGE(O28:O30)</f>
        <v>4.8592640854909185E-2</v>
      </c>
      <c r="Q30" s="27">
        <f t="shared" ref="Q30:Q32" si="66">AVERAGE(O25:O30)</f>
        <v>4.6094925423332413E-2</v>
      </c>
      <c r="R30" s="27">
        <f t="shared" ref="R30:R32" si="67">AVERAGE(O19:O30)</f>
        <v>4.4380917518555579E-2</v>
      </c>
      <c r="S30" s="26">
        <v>37349210.469999999</v>
      </c>
      <c r="T30" s="26">
        <v>582602.42000000004</v>
      </c>
      <c r="U30" s="26">
        <v>229002.03</v>
      </c>
      <c r="V30" s="26">
        <v>213858.5</v>
      </c>
      <c r="W30" s="26">
        <v>97906.57</v>
      </c>
      <c r="X30" s="26">
        <v>29656.86</v>
      </c>
      <c r="Y30" s="26">
        <v>0</v>
      </c>
      <c r="Z30" s="26">
        <f t="shared" ref="Z30:Z34" si="68">+Z29+Y30</f>
        <v>373951.80999999994</v>
      </c>
      <c r="AA30" s="4">
        <f t="shared" ref="AA30:AA34" si="69">+Z30/$D$4</f>
        <v>8.310036360825326E-3</v>
      </c>
      <c r="AB30" s="2">
        <v>33059830.02</v>
      </c>
      <c r="AC30" s="4">
        <f t="shared" ref="AC30:AC34" si="70">+AB30/AB$4</f>
        <v>0.83484419242424246</v>
      </c>
      <c r="AD30" s="2">
        <f t="shared" si="8"/>
        <v>28175991.494318184</v>
      </c>
      <c r="AE30" s="2">
        <v>3822337.75</v>
      </c>
      <c r="AF30" s="8">
        <f t="shared" ref="AF30:AF34" si="71">+AE30/$AE$4</f>
        <v>0.84940838888888892</v>
      </c>
      <c r="AG30" s="2">
        <v>900000</v>
      </c>
      <c r="AH30" s="8">
        <f t="shared" ref="AH30:AH34" si="72">+AG30/$AG$4</f>
        <v>1</v>
      </c>
      <c r="AI30" s="8">
        <f t="shared" si="2"/>
        <v>0.85380795952275745</v>
      </c>
      <c r="AJ30" s="2">
        <v>353637.28</v>
      </c>
      <c r="AK30" s="4">
        <f t="shared" si="3"/>
        <v>0.15532512810247581</v>
      </c>
      <c r="AL30" s="4">
        <f t="shared" ref="AL30:AL34" si="73">+S30/$D30</f>
        <v>0.96458612043331704</v>
      </c>
      <c r="AM30" s="4">
        <f t="shared" ref="AM30:AM34" si="74">+T30/$D30</f>
        <v>1.5046374501390149E-2</v>
      </c>
      <c r="AN30" s="4">
        <f t="shared" ref="AN30:AN34" si="75">+U30/$D30</f>
        <v>5.9142396026411661E-3</v>
      </c>
      <c r="AO30" s="4">
        <f t="shared" ref="AO30:AO34" si="76">+V30/$D30</f>
        <v>5.5231406029956848E-3</v>
      </c>
      <c r="AP30" s="4">
        <f t="shared" ref="AP30:AP34" si="77">+W30/$D30</f>
        <v>2.5285492606889099E-3</v>
      </c>
      <c r="AQ30" s="4">
        <f t="shared" ref="AQ30:AQ34" si="78">+X30/$D30</f>
        <v>7.6592236279296173E-4</v>
      </c>
      <c r="AR30" s="4">
        <f t="shared" ref="AR30:AR34" si="79">+Y30/$D30</f>
        <v>0</v>
      </c>
    </row>
    <row r="31" spans="1:44" x14ac:dyDescent="0.25">
      <c r="A31">
        <f t="shared" si="16"/>
        <v>27</v>
      </c>
      <c r="B31" s="3">
        <f t="shared" si="30"/>
        <v>43477</v>
      </c>
      <c r="C31">
        <v>1150</v>
      </c>
      <c r="D31" s="2">
        <v>38452410.130000003</v>
      </c>
      <c r="E31" s="44">
        <v>7.5</v>
      </c>
      <c r="F31" s="8">
        <f t="shared" si="63"/>
        <v>0.85449760583233481</v>
      </c>
      <c r="G31" s="2">
        <v>122901.95</v>
      </c>
      <c r="H31" s="2"/>
      <c r="I31" s="2"/>
      <c r="J31" s="2"/>
      <c r="K31" s="2"/>
      <c r="L31" s="2"/>
      <c r="M31" s="2"/>
      <c r="N31" s="6">
        <f t="shared" si="4"/>
        <v>3.1740835656864021E-3</v>
      </c>
      <c r="O31" s="6">
        <f t="shared" si="64"/>
        <v>3.7431050792383069E-2</v>
      </c>
      <c r="P31" s="27">
        <f t="shared" si="65"/>
        <v>4.5754689561658436E-2</v>
      </c>
      <c r="Q31" s="27">
        <f t="shared" si="66"/>
        <v>4.3026251409286342E-2</v>
      </c>
      <c r="R31" s="27">
        <f t="shared" si="67"/>
        <v>4.5104483133222469E-2</v>
      </c>
      <c r="S31" s="26">
        <v>37106354.509999998</v>
      </c>
      <c r="T31" s="26">
        <v>622013.28</v>
      </c>
      <c r="U31" s="26">
        <v>175399.38</v>
      </c>
      <c r="V31" s="26">
        <v>187637.1</v>
      </c>
      <c r="W31" s="26">
        <v>109717.02</v>
      </c>
      <c r="X31" s="26">
        <v>33073.800000000003</v>
      </c>
      <c r="Y31" s="26">
        <v>0</v>
      </c>
      <c r="Z31" s="26">
        <f t="shared" si="68"/>
        <v>373951.80999999994</v>
      </c>
      <c r="AA31" s="4">
        <f t="shared" si="69"/>
        <v>8.310036360825326E-3</v>
      </c>
      <c r="AB31" s="2">
        <v>32791788.260000002</v>
      </c>
      <c r="AC31" s="4">
        <f t="shared" si="70"/>
        <v>0.82807546111111119</v>
      </c>
      <c r="AD31" s="2">
        <f t="shared" si="8"/>
        <v>27947546.812500004</v>
      </c>
      <c r="AE31" s="2">
        <v>3790068.4</v>
      </c>
      <c r="AF31" s="8">
        <f t="shared" si="71"/>
        <v>0.8422374222222222</v>
      </c>
      <c r="AG31" s="2">
        <v>900000</v>
      </c>
      <c r="AH31" s="8">
        <f t="shared" si="72"/>
        <v>1</v>
      </c>
      <c r="AI31" s="8">
        <f t="shared" si="2"/>
        <v>0.8527888927933891</v>
      </c>
      <c r="AJ31" s="2">
        <v>351260.69</v>
      </c>
      <c r="AK31" s="4">
        <f t="shared" si="3"/>
        <v>0.1563460532038177</v>
      </c>
      <c r="AL31" s="4">
        <f t="shared" si="73"/>
        <v>0.96499424573260151</v>
      </c>
      <c r="AM31" s="4">
        <f t="shared" si="74"/>
        <v>1.6176184480949204E-2</v>
      </c>
      <c r="AN31" s="4">
        <f t="shared" si="75"/>
        <v>4.5614664830373273E-3</v>
      </c>
      <c r="AO31" s="4">
        <f t="shared" si="76"/>
        <v>4.8797227369009131E-3</v>
      </c>
      <c r="AP31" s="4">
        <f t="shared" si="77"/>
        <v>2.853319717257473E-3</v>
      </c>
      <c r="AQ31" s="4">
        <f t="shared" si="78"/>
        <v>8.6012293867104871E-4</v>
      </c>
      <c r="AR31" s="4">
        <f t="shared" si="79"/>
        <v>0</v>
      </c>
    </row>
    <row r="32" spans="1:44" x14ac:dyDescent="0.25">
      <c r="A32">
        <f t="shared" si="16"/>
        <v>28</v>
      </c>
      <c r="B32" s="3">
        <f t="shared" si="30"/>
        <v>43508</v>
      </c>
      <c r="C32">
        <v>1147</v>
      </c>
      <c r="D32" s="2">
        <v>38236847.600000001</v>
      </c>
      <c r="E32" s="44">
        <v>7.5</v>
      </c>
      <c r="F32" s="8">
        <f t="shared" si="63"/>
        <v>0.84970732961377204</v>
      </c>
      <c r="G32" s="2">
        <v>97907.58</v>
      </c>
      <c r="H32" s="2"/>
      <c r="I32" s="2"/>
      <c r="J32" s="2"/>
      <c r="K32" s="2"/>
      <c r="L32" s="2"/>
      <c r="M32" s="2"/>
      <c r="N32" s="6">
        <f t="shared" si="4"/>
        <v>2.5462013868309897E-3</v>
      </c>
      <c r="O32" s="6">
        <f t="shared" si="64"/>
        <v>3.0130140206377165E-2</v>
      </c>
      <c r="P32" s="27">
        <f t="shared" si="65"/>
        <v>3.8497242177476632E-2</v>
      </c>
      <c r="Q32" s="27">
        <f t="shared" si="66"/>
        <v>3.9061319639081736E-2</v>
      </c>
      <c r="R32" s="27">
        <f t="shared" si="67"/>
        <v>4.0716391312917134E-2</v>
      </c>
      <c r="S32" s="26">
        <v>36846367.640000001</v>
      </c>
      <c r="T32" s="26">
        <v>601484.07999999996</v>
      </c>
      <c r="U32" s="26">
        <v>265484.08</v>
      </c>
      <c r="V32" s="26">
        <v>103167.7</v>
      </c>
      <c r="W32" s="26">
        <v>139410.95000000001</v>
      </c>
      <c r="X32" s="26">
        <v>62730.66</v>
      </c>
      <c r="Y32" s="26">
        <v>0</v>
      </c>
      <c r="Z32" s="26">
        <f t="shared" si="68"/>
        <v>373951.80999999994</v>
      </c>
      <c r="AA32" s="4">
        <f t="shared" si="69"/>
        <v>8.310036360825326E-3</v>
      </c>
      <c r="AB32" s="2">
        <v>32576255.73</v>
      </c>
      <c r="AC32" s="4">
        <f t="shared" si="70"/>
        <v>0.8226327204545455</v>
      </c>
      <c r="AD32" s="2">
        <f t="shared" si="8"/>
        <v>27763854.31534091</v>
      </c>
      <c r="AE32" s="2">
        <v>3744439.43</v>
      </c>
      <c r="AF32" s="8">
        <f t="shared" si="71"/>
        <v>0.83209765111111111</v>
      </c>
      <c r="AG32" s="2">
        <v>900000</v>
      </c>
      <c r="AH32" s="8">
        <f t="shared" si="72"/>
        <v>1</v>
      </c>
      <c r="AI32" s="8">
        <f t="shared" si="2"/>
        <v>0.85195976589869293</v>
      </c>
      <c r="AJ32" s="2">
        <v>348412.75</v>
      </c>
      <c r="AK32" s="4">
        <f t="shared" si="3"/>
        <v>0.15715219734798433</v>
      </c>
      <c r="AL32" s="4">
        <f t="shared" si="73"/>
        <v>0.96363507853612906</v>
      </c>
      <c r="AM32" s="4">
        <f t="shared" si="74"/>
        <v>1.573048297004484E-2</v>
      </c>
      <c r="AN32" s="4">
        <f t="shared" si="75"/>
        <v>6.9431476877293624E-3</v>
      </c>
      <c r="AO32" s="4">
        <f t="shared" si="76"/>
        <v>2.6981225303730318E-3</v>
      </c>
      <c r="AP32" s="4">
        <f t="shared" si="77"/>
        <v>3.6459844037979743E-3</v>
      </c>
      <c r="AQ32" s="4">
        <f t="shared" si="78"/>
        <v>1.6405813747051678E-3</v>
      </c>
      <c r="AR32" s="4">
        <f t="shared" si="79"/>
        <v>0</v>
      </c>
    </row>
    <row r="33" spans="1:44" x14ac:dyDescent="0.25">
      <c r="A33">
        <f t="shared" si="16"/>
        <v>29</v>
      </c>
      <c r="B33" s="3">
        <f t="shared" si="30"/>
        <v>43539</v>
      </c>
      <c r="C33">
        <v>1141</v>
      </c>
      <c r="D33" s="2">
        <v>37911570.340000004</v>
      </c>
      <c r="E33" s="44">
        <v>7.5</v>
      </c>
      <c r="F33" s="8">
        <f t="shared" si="63"/>
        <v>0.84247894941700385</v>
      </c>
      <c r="G33" s="2">
        <v>214265.57</v>
      </c>
      <c r="N33" s="6">
        <f t="shared" ref="N33" si="80">+G33/D32</f>
        <v>5.6036410804953495E-3</v>
      </c>
      <c r="O33" s="6">
        <f t="shared" ref="O33" si="81">1-(+N33-1)^12</f>
        <v>6.5209467807546995E-2</v>
      </c>
      <c r="P33" s="27">
        <f t="shared" ref="P33" si="82">AVERAGE(O31:O33)</f>
        <v>4.4256886268769079E-2</v>
      </c>
      <c r="Q33" s="27">
        <f t="shared" ref="Q33" si="83">AVERAGE(O28:O33)</f>
        <v>4.6424763561839132E-2</v>
      </c>
      <c r="R33" s="27">
        <f t="shared" ref="R33" si="84">AVERAGE(O22:O33)</f>
        <v>4.5876473020525638E-2</v>
      </c>
      <c r="S33" s="26">
        <v>36351266.619999997</v>
      </c>
      <c r="T33" s="26">
        <v>691545.55</v>
      </c>
      <c r="U33" s="26">
        <v>334272.11</v>
      </c>
      <c r="V33" s="26">
        <v>119109.68</v>
      </c>
      <c r="W33" s="26">
        <v>79281.16</v>
      </c>
      <c r="X33" s="26">
        <v>55149.52</v>
      </c>
      <c r="Y33" s="26">
        <v>29656.86</v>
      </c>
      <c r="Z33" s="26">
        <f t="shared" si="68"/>
        <v>403608.66999999993</v>
      </c>
      <c r="AA33" s="4">
        <f t="shared" si="69"/>
        <v>8.9690773879242611E-3</v>
      </c>
      <c r="AB33" s="2">
        <v>32197030.25</v>
      </c>
      <c r="AC33" s="4">
        <f t="shared" si="70"/>
        <v>0.81305631944444445</v>
      </c>
      <c r="AD33" s="2">
        <f t="shared" si="8"/>
        <v>27440650.78125</v>
      </c>
      <c r="AE33" s="2">
        <v>3744439.43</v>
      </c>
      <c r="AF33" s="8">
        <f t="shared" si="71"/>
        <v>0.83209765111111111</v>
      </c>
      <c r="AG33" s="2">
        <v>900000</v>
      </c>
      <c r="AH33" s="8">
        <f t="shared" si="72"/>
        <v>1</v>
      </c>
      <c r="AI33" s="8">
        <f t="shared" si="2"/>
        <v>0.84926659490095913</v>
      </c>
      <c r="AJ33" s="2">
        <v>346122.4</v>
      </c>
      <c r="AK33" s="4">
        <f t="shared" si="3"/>
        <v>0.159863135070548</v>
      </c>
      <c r="AL33" s="4">
        <f t="shared" si="73"/>
        <v>0.9588436008847212</v>
      </c>
      <c r="AM33" s="4">
        <f t="shared" si="74"/>
        <v>1.8241015705708168E-2</v>
      </c>
      <c r="AN33" s="4">
        <f t="shared" si="75"/>
        <v>8.8171528375682665E-3</v>
      </c>
      <c r="AO33" s="4">
        <f t="shared" si="76"/>
        <v>3.1417764796286721E-3</v>
      </c>
      <c r="AP33" s="4">
        <f t="shared" si="77"/>
        <v>2.0912127693204913E-3</v>
      </c>
      <c r="AQ33" s="4">
        <f t="shared" si="78"/>
        <v>1.4546883578128247E-3</v>
      </c>
      <c r="AR33" s="4">
        <f t="shared" si="79"/>
        <v>7.8226408808789003E-4</v>
      </c>
    </row>
    <row r="34" spans="1:44" x14ac:dyDescent="0.25">
      <c r="A34">
        <f t="shared" si="16"/>
        <v>30</v>
      </c>
      <c r="B34" s="3">
        <f t="shared" si="30"/>
        <v>43570</v>
      </c>
      <c r="C34">
        <v>1129</v>
      </c>
      <c r="D34" s="2">
        <v>37561737.869999997</v>
      </c>
      <c r="E34" s="44">
        <v>7.5</v>
      </c>
      <c r="F34" s="8">
        <f t="shared" si="63"/>
        <v>0.83470489814045734</v>
      </c>
      <c r="G34" s="2">
        <v>246308.91</v>
      </c>
      <c r="N34" s="6">
        <f t="shared" ref="N34" si="85">+G34/D33</f>
        <v>6.4969324085244412E-3</v>
      </c>
      <c r="O34" s="6">
        <f t="shared" ref="O34" si="86">1-(+N34-1)^12</f>
        <v>7.5236779434927681E-2</v>
      </c>
      <c r="P34" s="27">
        <f t="shared" ref="P34" si="87">AVERAGE(O32:O34)</f>
        <v>5.6858795816283947E-2</v>
      </c>
      <c r="Q34" s="27">
        <f t="shared" ref="Q34" si="88">AVERAGE(O29:O34)</f>
        <v>5.1306742688971195E-2</v>
      </c>
      <c r="R34" s="27">
        <f t="shared" ref="R34" si="89">AVERAGE(O23:O34)</f>
        <v>4.7586202037724158E-2</v>
      </c>
      <c r="S34" s="26">
        <v>36113726.649999999</v>
      </c>
      <c r="T34" s="26">
        <v>617328.55000000005</v>
      </c>
      <c r="U34" s="26">
        <v>240803.84</v>
      </c>
      <c r="V34" s="26">
        <v>116168.35</v>
      </c>
      <c r="W34" s="26">
        <v>101455.06</v>
      </c>
      <c r="X34" s="26">
        <v>91309.72</v>
      </c>
      <c r="Y34" s="26">
        <v>0</v>
      </c>
      <c r="Z34" s="26">
        <f t="shared" si="68"/>
        <v>403608.66999999993</v>
      </c>
      <c r="AA34" s="4">
        <f t="shared" si="69"/>
        <v>8.9690773879242611E-3</v>
      </c>
      <c r="AB34" s="2">
        <v>31838385.34</v>
      </c>
      <c r="AC34" s="4">
        <f t="shared" si="70"/>
        <v>0.80399962979797979</v>
      </c>
      <c r="AD34" s="2">
        <f t="shared" si="8"/>
        <v>27134987.50568182</v>
      </c>
      <c r="AE34" s="2">
        <v>3744313.87</v>
      </c>
      <c r="AF34" s="8">
        <f t="shared" si="71"/>
        <v>0.83206974888888896</v>
      </c>
      <c r="AG34" s="2">
        <v>900000</v>
      </c>
      <c r="AH34" s="8">
        <f t="shared" si="72"/>
        <v>1</v>
      </c>
      <c r="AI34" s="8">
        <f t="shared" si="2"/>
        <v>0.84762812227143636</v>
      </c>
      <c r="AJ34" s="2">
        <v>342093.45</v>
      </c>
      <c r="AK34" s="4">
        <f t="shared" si="3"/>
        <v>0.16147937566127318</v>
      </c>
      <c r="AL34" s="4">
        <f t="shared" si="73"/>
        <v>0.9614498342698754</v>
      </c>
      <c r="AM34" s="4">
        <f t="shared" si="74"/>
        <v>1.6435036955333507E-2</v>
      </c>
      <c r="AN34" s="4">
        <f t="shared" si="75"/>
        <v>6.4108812226264548E-3</v>
      </c>
      <c r="AO34" s="4">
        <f t="shared" si="76"/>
        <v>3.0927309700646715E-3</v>
      </c>
      <c r="AP34" s="4">
        <f t="shared" si="77"/>
        <v>2.7010214583556491E-3</v>
      </c>
      <c r="AQ34" s="4">
        <f t="shared" si="78"/>
        <v>2.4309237319109166E-3</v>
      </c>
      <c r="AR34" s="4">
        <f t="shared" si="79"/>
        <v>0</v>
      </c>
    </row>
    <row r="35" spans="1:44" x14ac:dyDescent="0.25">
      <c r="A35">
        <f t="shared" si="16"/>
        <v>31</v>
      </c>
      <c r="B35" s="3">
        <f t="shared" si="30"/>
        <v>43601</v>
      </c>
      <c r="C35" s="41">
        <f>'[252]Part 1'!$C$17</f>
        <v>1126</v>
      </c>
      <c r="D35" s="2">
        <f>'[252]Part 1'!$C$21</f>
        <v>37263300.280000001</v>
      </c>
      <c r="E35" s="44">
        <v>7.5</v>
      </c>
      <c r="F35" s="8">
        <f t="shared" ref="F35" si="90">+D35/D$4</f>
        <v>0.82807295477765597</v>
      </c>
      <c r="G35" s="2">
        <f>'[252]Part 2 - 3'!$C$49</f>
        <v>107040.67</v>
      </c>
      <c r="N35" s="6">
        <f t="shared" ref="N35" si="91">+G35/D34</f>
        <v>2.8497262392508148E-3</v>
      </c>
      <c r="O35" s="6">
        <f t="shared" ref="O35" si="92">1-(+N35-1)^12</f>
        <v>3.3665791698179959E-2</v>
      </c>
      <c r="P35" s="27">
        <f t="shared" ref="P35" si="93">AVERAGE(O33:O35)</f>
        <v>5.8037346313551542E-2</v>
      </c>
      <c r="Q35" s="27">
        <f t="shared" ref="Q35" si="94">AVERAGE(O30:O35)</f>
        <v>4.826729424551409E-2</v>
      </c>
      <c r="R35" s="27">
        <f t="shared" ref="R35" si="95">AVERAGE(O24:O35)</f>
        <v>4.8558649960394495E-2</v>
      </c>
      <c r="S35" s="26">
        <f>'[252]Part 8 - 11'!$C$3</f>
        <v>35712904.369999997</v>
      </c>
      <c r="T35" s="26">
        <f>'[252]Part 8 - 11'!$D$3</f>
        <v>731087.31</v>
      </c>
      <c r="U35" s="26">
        <f>'[252]Part 8 - 11'!$E$3</f>
        <v>297040.59999999998</v>
      </c>
      <c r="V35" s="26">
        <f>'[252]Part 8 - 11'!$F$3</f>
        <v>138713.44</v>
      </c>
      <c r="W35" s="26">
        <f>'[252]Part 8 - 11'!$G$3</f>
        <v>17471.560000000001</v>
      </c>
      <c r="X35" s="26">
        <f>'[252]Part 8 - 11'!$I$3</f>
        <v>63205.37</v>
      </c>
      <c r="Y35" s="26">
        <f>'[252]Part 12 - 13 - Deemed Defaul'!$L$50</f>
        <v>55005.729999999996</v>
      </c>
      <c r="Z35" s="26">
        <f t="shared" ref="Z35" si="96">+Z34+Y35</f>
        <v>458614.39999999991</v>
      </c>
      <c r="AA35" s="4">
        <f t="shared" ref="AA35" si="97">+Z35/$D$4</f>
        <v>1.0191426375494987E-2</v>
      </c>
      <c r="AB35" s="2">
        <f>'[252]Part 12 - 13 - Deemed Defaul'!$V$4</f>
        <v>31518015.819999993</v>
      </c>
      <c r="AC35" s="4">
        <f t="shared" ref="AC35" si="98">+AB35/AB$4</f>
        <v>0.79590949040404024</v>
      </c>
      <c r="AD35" s="2">
        <f t="shared" ref="AD35:AD40" si="99">+AB35*$AD$2</f>
        <v>26861945.30113636</v>
      </c>
      <c r="AE35" s="2">
        <f>'[252]Part 12 - 13 - Deemed Defaul'!$V$5</f>
        <v>3726381.6599999988</v>
      </c>
      <c r="AF35" s="8">
        <f t="shared" ref="AF35" si="100">+AE35/$AE$4</f>
        <v>0.82808481333333306</v>
      </c>
      <c r="AG35" s="2">
        <f>'[252]Part 12 - 13 - Deemed Defaul'!$V$6</f>
        <v>900000</v>
      </c>
      <c r="AH35" s="8">
        <f t="shared" ref="AH35" si="101">+AG35/$AG$4</f>
        <v>1</v>
      </c>
      <c r="AI35" s="8">
        <f t="shared" ref="AI35" si="102">+AB35/D35</f>
        <v>0.8458192265089407</v>
      </c>
      <c r="AJ35" s="2">
        <f>'[252]Part 5 - 7'!$C$32</f>
        <v>338282.84423749993</v>
      </c>
      <c r="AK35" s="4">
        <f t="shared" ref="AK35" si="103">((+D35+AJ35)-AB35)/D35</f>
        <v>0.16325895072430516</v>
      </c>
      <c r="AL35" s="4">
        <f t="shared" ref="AL35" si="104">+S35/$D35</f>
        <v>0.958393489080404</v>
      </c>
      <c r="AM35" s="4">
        <f t="shared" ref="AM35" si="105">+T35/$D35</f>
        <v>1.9619499735840359E-2</v>
      </c>
      <c r="AN35" s="4">
        <f t="shared" ref="AN35" si="106">+U35/$D35</f>
        <v>7.9713980717759439E-3</v>
      </c>
      <c r="AO35" s="4">
        <f t="shared" ref="AO35" si="107">+V35/$D35</f>
        <v>3.7225215951806187E-3</v>
      </c>
      <c r="AP35" s="4">
        <f t="shared" ref="AP35" si="108">+W35/$D35</f>
        <v>4.6886775644446488E-4</v>
      </c>
      <c r="AQ35" s="4">
        <f t="shared" ref="AQ35" si="109">+X35/$D35</f>
        <v>1.6961828266704455E-3</v>
      </c>
      <c r="AR35" s="4">
        <f t="shared" ref="AR35" si="110">+Y35/$D35</f>
        <v>1.476136831324163E-3</v>
      </c>
    </row>
    <row r="36" spans="1:44" x14ac:dyDescent="0.25">
      <c r="A36">
        <f t="shared" si="16"/>
        <v>32</v>
      </c>
      <c r="B36" s="3">
        <f t="shared" si="30"/>
        <v>43632</v>
      </c>
      <c r="C36" s="41">
        <f>'[253]Part 1'!$C$17</f>
        <v>1121</v>
      </c>
      <c r="D36" s="2">
        <f>'[253]Part 1'!$C$21</f>
        <v>37072739.869999997</v>
      </c>
      <c r="E36" s="44">
        <v>7.5</v>
      </c>
      <c r="F36" s="8">
        <f t="shared" ref="F36" si="111">+D36/D$4</f>
        <v>0.82383828096758993</v>
      </c>
      <c r="G36" s="2">
        <f>'[253]Part 2 - 3'!$C$49</f>
        <v>70844.06</v>
      </c>
      <c r="N36" s="6">
        <f t="shared" ref="N36" si="112">+G36/D35</f>
        <v>1.901175136600112E-3</v>
      </c>
      <c r="O36" s="6">
        <f t="shared" ref="O36" si="113">1-(+N36-1)^12</f>
        <v>2.2577052158176958E-2</v>
      </c>
      <c r="P36" s="27">
        <f t="shared" ref="P36" si="114">AVERAGE(O34:O36)</f>
        <v>4.3826541097094864E-2</v>
      </c>
      <c r="Q36" s="27">
        <f t="shared" ref="Q36" si="115">AVERAGE(O31:O36)</f>
        <v>4.4041713682931971E-2</v>
      </c>
      <c r="R36" s="27">
        <f t="shared" ref="R36" si="116">AVERAGE(O25:O36)</f>
        <v>4.5068319553132195E-2</v>
      </c>
      <c r="S36" s="26">
        <f>'[253]Part 8 - 11'!$C$3</f>
        <v>35620096.289999999</v>
      </c>
      <c r="T36" s="26">
        <f>'[253]Part 8 - 11'!$D$3</f>
        <v>674402.8</v>
      </c>
      <c r="U36" s="26">
        <f>'[253]Part 8 - 11'!$E$3</f>
        <v>272179.53999999998</v>
      </c>
      <c r="V36" s="26">
        <f>'[253]Part 8 - 11'!$F$3</f>
        <v>153498.85</v>
      </c>
      <c r="W36" s="26">
        <f>'[253]Part 8 - 11'!$G$3</f>
        <v>74524.639999999999</v>
      </c>
      <c r="X36" s="26">
        <f>'[253]Part 8 - 11'!$I$3</f>
        <v>21564.46</v>
      </c>
      <c r="Y36" s="26">
        <f>'[253]Part 12 - 13 - Deemed Defaul'!$L$51</f>
        <v>16113.5</v>
      </c>
      <c r="Z36" s="26">
        <f t="shared" ref="Z36" si="117">+Z35+Y36</f>
        <v>474727.89999999991</v>
      </c>
      <c r="AA36" s="4">
        <f t="shared" ref="AA36" si="118">+Z36/$D$4</f>
        <v>1.0549503986886035E-2</v>
      </c>
      <c r="AB36" s="2">
        <f>'[253]Part 12 - 13 - Deemed Defaul'!$V$4</f>
        <v>31373859.749999993</v>
      </c>
      <c r="AC36" s="4">
        <f t="shared" ref="AC36" si="119">+AB36/AB$4</f>
        <v>0.79226918560606041</v>
      </c>
      <c r="AD36" s="2">
        <f t="shared" si="99"/>
        <v>26739085.014204539</v>
      </c>
      <c r="AE36" s="2">
        <f>'[253]Part 12 - 13 - Deemed Defaul'!$V$5</f>
        <v>3638542.4899999988</v>
      </c>
      <c r="AF36" s="8">
        <f t="shared" ref="AF36" si="120">+AE36/$AE$4</f>
        <v>0.80856499777777757</v>
      </c>
      <c r="AG36" s="2">
        <f>'[253]Part 12 - 13 - Deemed Defaul'!$V$6</f>
        <v>900000</v>
      </c>
      <c r="AH36" s="8">
        <f t="shared" ref="AH36" si="121">+AG36/$AG$4</f>
        <v>1</v>
      </c>
      <c r="AI36" s="8">
        <f t="shared" ref="AI36" si="122">+AB36/D36</f>
        <v>0.84627842074840409</v>
      </c>
      <c r="AJ36" s="2">
        <f>'[253]Part 5 - 7'!$C$32</f>
        <v>334878.91808749997</v>
      </c>
      <c r="AK36" s="4">
        <f t="shared" ref="AK36" si="123">((+D36+AJ36)-AB36)/D36</f>
        <v>0.16275460241799233</v>
      </c>
      <c r="AL36" s="4">
        <f t="shared" ref="AL36" si="124">+S36/$D36</f>
        <v>0.96081639541361474</v>
      </c>
      <c r="AM36" s="4">
        <f t="shared" ref="AM36" si="125">+T36/$D36</f>
        <v>1.8191339576326817E-2</v>
      </c>
      <c r="AN36" s="4">
        <f t="shared" ref="AN36" si="126">+U36/$D36</f>
        <v>7.3417702860492677E-3</v>
      </c>
      <c r="AO36" s="4">
        <f t="shared" ref="AO36" si="127">+V36/$D36</f>
        <v>4.1404776269102876E-3</v>
      </c>
      <c r="AP36" s="4">
        <f t="shared" ref="AP36" si="128">+W36/$D36</f>
        <v>2.0102274679813137E-3</v>
      </c>
      <c r="AQ36" s="4">
        <f t="shared" ref="AQ36" si="129">+X36/$D36</f>
        <v>5.8167969444983996E-4</v>
      </c>
      <c r="AR36" s="4">
        <f t="shared" ref="AR36" si="130">+Y36/$D36</f>
        <v>4.3464551194500104E-4</v>
      </c>
    </row>
    <row r="37" spans="1:44" x14ac:dyDescent="0.25">
      <c r="A37">
        <f t="shared" si="16"/>
        <v>33</v>
      </c>
      <c r="B37" s="3">
        <f t="shared" si="30"/>
        <v>43663</v>
      </c>
      <c r="C37" s="41">
        <f>'[254]Part 1'!$C$17</f>
        <v>1116</v>
      </c>
      <c r="D37" s="2">
        <f>'[254]Part 1'!$C$21</f>
        <v>36773620.380000003</v>
      </c>
      <c r="E37" s="44">
        <v>7.5</v>
      </c>
      <c r="F37" s="8">
        <f t="shared" ref="F37" si="131">+D37/D$4</f>
        <v>0.81719118427849646</v>
      </c>
      <c r="G37" s="2">
        <f>'[254]Part 2 - 3'!$C$49</f>
        <v>191851.35</v>
      </c>
      <c r="N37" s="6">
        <f t="shared" ref="N37" si="132">+G37/D36</f>
        <v>5.1749978737139404E-3</v>
      </c>
      <c r="O37" s="6">
        <f t="shared" ref="O37" si="133">1-(+N37-1)^12</f>
        <v>6.0362592298515927E-2</v>
      </c>
      <c r="P37" s="27">
        <f t="shared" ref="P37" si="134">AVERAGE(O35:O37)</f>
        <v>3.8868478718290946E-2</v>
      </c>
      <c r="Q37" s="27">
        <f t="shared" ref="Q37" si="135">AVERAGE(O32:O37)</f>
        <v>4.786363726728745E-2</v>
      </c>
      <c r="R37" s="27">
        <f t="shared" ref="R37" si="136">AVERAGE(O26:O37)</f>
        <v>4.5444944338286893E-2</v>
      </c>
      <c r="S37" s="26">
        <f>'[254]Part 8 - 11'!$C$3</f>
        <v>35147809.269999996</v>
      </c>
      <c r="T37" s="26">
        <f>'[254]Part 8 - 11'!$D$3</f>
        <v>823374.52</v>
      </c>
      <c r="U37" s="26">
        <f>'[254]Part 8 - 11'!$E$3</f>
        <v>214894.44</v>
      </c>
      <c r="V37" s="26">
        <f>'[254]Part 8 - 11'!$F$3</f>
        <v>209564.13</v>
      </c>
      <c r="W37" s="26">
        <f>'[254]Part 8 - 11'!$G$3</f>
        <v>32507.38</v>
      </c>
      <c r="X37" s="26">
        <f>'[254]Part 8 - 11'!$I$3</f>
        <v>67432.89</v>
      </c>
      <c r="Y37" s="26">
        <f>'[254]Part 12 - 13 - Deemed Defaul'!$L$51</f>
        <v>0</v>
      </c>
      <c r="Z37" s="26">
        <f t="shared" ref="Z37" si="137">+Z36+Y37</f>
        <v>474727.89999999991</v>
      </c>
      <c r="AA37" s="4">
        <f t="shared" ref="AA37" si="138">+Z37/$D$4</f>
        <v>1.0549503986886035E-2</v>
      </c>
      <c r="AB37" s="2">
        <f>'[254]Part 12 - 13 - Deemed Defaul'!$V$4</f>
        <v>31053175.799999993</v>
      </c>
      <c r="AC37" s="4">
        <f t="shared" ref="AC37" si="139">+AB37/AB$4</f>
        <v>0.78417110606060592</v>
      </c>
      <c r="AD37" s="2">
        <f t="shared" si="99"/>
        <v>26465774.829545449</v>
      </c>
      <c r="AE37" s="2">
        <f>'[254]Part 12 - 13 - Deemed Defaul'!$V$5</f>
        <v>3633725.0799999987</v>
      </c>
      <c r="AF37" s="8">
        <f t="shared" ref="AF37" si="140">+AE37/$AE$4</f>
        <v>0.80749446222222188</v>
      </c>
      <c r="AG37" s="2">
        <f>'[254]Part 12 - 13 - Deemed Defaul'!$V$6</f>
        <v>900000</v>
      </c>
      <c r="AH37" s="8">
        <f t="shared" ref="AH37" si="141">+AG37/$AG$4</f>
        <v>1</v>
      </c>
      <c r="AI37" s="8">
        <f t="shared" ref="AI37" si="142">+AB37/D37</f>
        <v>0.84444162633736286</v>
      </c>
      <c r="AJ37" s="2">
        <f>'[254]Part 5 - 7'!$C$32</f>
        <v>333347.25984374993</v>
      </c>
      <c r="AK37" s="4">
        <f t="shared" ref="AK37" si="143">((+D37+AJ37)-AB37)/D37</f>
        <v>0.16462322113751479</v>
      </c>
      <c r="AL37" s="4">
        <f t="shared" ref="AL37" si="144">+S37/$D37</f>
        <v>0.9557886579238134</v>
      </c>
      <c r="AM37" s="4">
        <f t="shared" ref="AM37" si="145">+T37/$D37</f>
        <v>2.2390357856845858E-2</v>
      </c>
      <c r="AN37" s="4">
        <f t="shared" ref="AN37" si="146">+U37/$D37</f>
        <v>5.8437118178571897E-3</v>
      </c>
      <c r="AO37" s="4">
        <f t="shared" ref="AO37" si="147">+V37/$D37</f>
        <v>5.6987625323389494E-3</v>
      </c>
      <c r="AP37" s="4">
        <f t="shared" ref="AP37" si="148">+W37/$D37</f>
        <v>8.8398639198656996E-4</v>
      </c>
      <c r="AQ37" s="4">
        <f t="shared" ref="AQ37" si="149">+X37/$D37</f>
        <v>1.833729975541777E-3</v>
      </c>
      <c r="AR37" s="4">
        <f t="shared" ref="AR37" si="150">+Y37/$D37</f>
        <v>0</v>
      </c>
    </row>
    <row r="38" spans="1:44" x14ac:dyDescent="0.25">
      <c r="A38">
        <f t="shared" si="16"/>
        <v>34</v>
      </c>
      <c r="B38" s="3">
        <f t="shared" si="30"/>
        <v>43694</v>
      </c>
      <c r="C38" s="41">
        <f>'[255]Part 1'!$C$17</f>
        <v>1112</v>
      </c>
      <c r="D38" s="2">
        <f>'[255]Part 1'!$C$21</f>
        <v>36559175.390000001</v>
      </c>
      <c r="E38" s="44">
        <v>7.5</v>
      </c>
      <c r="F38" s="8">
        <f t="shared" ref="F38" si="151">+D38/D$4</f>
        <v>0.81242574227061626</v>
      </c>
      <c r="G38" s="2">
        <f>'[255]Part 2 - 3'!$C$49</f>
        <v>139317.94</v>
      </c>
      <c r="N38" s="6">
        <f t="shared" ref="N38" si="152">+G38/D37</f>
        <v>3.7885293468622027E-3</v>
      </c>
      <c r="O38" s="6">
        <f t="shared" ref="O38" si="153">1-(+N38-1)^12</f>
        <v>4.4526918649488434E-2</v>
      </c>
      <c r="P38" s="27">
        <f t="shared" ref="P38" si="154">AVERAGE(O36:O38)</f>
        <v>4.2488854368727104E-2</v>
      </c>
      <c r="Q38" s="27">
        <f t="shared" ref="Q38" si="155">AVERAGE(O33:O38)</f>
        <v>5.0263100341139323E-2</v>
      </c>
      <c r="R38" s="27">
        <f t="shared" ref="R38" si="156">AVERAGE(O27:O38)</f>
        <v>4.466220999011053E-2</v>
      </c>
      <c r="S38" s="26">
        <f>'[255]Part 8 - 11'!$C$3</f>
        <v>34766912.449999996</v>
      </c>
      <c r="T38" s="26">
        <f>'[255]Part 8 - 11'!$D$3</f>
        <v>1035938.14</v>
      </c>
      <c r="U38" s="26">
        <f>'[255]Part 8 - 11'!$E$3</f>
        <v>290294.24</v>
      </c>
      <c r="V38" s="26">
        <f>'[255]Part 8 - 11'!$F$3</f>
        <v>119745.27</v>
      </c>
      <c r="W38" s="26">
        <f>'[255]Part 8 - 11'!$G$3</f>
        <v>86673.41</v>
      </c>
      <c r="X38" s="26">
        <f>'[255]Part 8 - 11'!$I$3</f>
        <v>31128.9</v>
      </c>
      <c r="Y38" s="26">
        <f>'[255]Part 12 - 13 - Deemed Default'!$L$51</f>
        <v>0</v>
      </c>
      <c r="Z38" s="26">
        <f t="shared" ref="Z38" si="157">+Z37+Y38</f>
        <v>474727.89999999991</v>
      </c>
      <c r="AA38" s="4">
        <f t="shared" ref="AA38" si="158">+Z38/$D$4</f>
        <v>1.0549503986886035E-2</v>
      </c>
      <c r="AB38" s="2">
        <f>'[255]Part 12 - 13 - Deemed Default'!$V$4</f>
        <v>30888285.579999994</v>
      </c>
      <c r="AC38" s="4">
        <f t="shared" ref="AC38" si="159">+AB38/AB$4</f>
        <v>0.78000721161616149</v>
      </c>
      <c r="AD38" s="2">
        <f t="shared" si="99"/>
        <v>26325243.392045449</v>
      </c>
      <c r="AE38" s="2">
        <f>'[255]Part 12 - 13 - Deemed Default'!$V$5</f>
        <v>3538322.7599999988</v>
      </c>
      <c r="AF38" s="8">
        <f t="shared" ref="AF38" si="160">+AE38/$AE$4</f>
        <v>0.78629394666666641</v>
      </c>
      <c r="AG38" s="2">
        <f>'[255]Part 12 - 13 - Deemed Default'!$V$6</f>
        <v>900000</v>
      </c>
      <c r="AH38" s="8">
        <f t="shared" ref="AH38" si="161">+AG38/$AG$4</f>
        <v>1</v>
      </c>
      <c r="AI38" s="8">
        <f t="shared" ref="AI38" si="162">+AB38/D38</f>
        <v>0.84488463567613292</v>
      </c>
      <c r="AJ38" s="2">
        <f>'[255]Part 5 - 7'!$C$32</f>
        <v>329939.99287499994</v>
      </c>
      <c r="AK38" s="4">
        <f t="shared" ref="AK38" si="163">((+D38+AJ38)-AB38)/D38</f>
        <v>0.16414018475144301</v>
      </c>
      <c r="AL38" s="4">
        <f t="shared" ref="AL38" si="164">+S38/$D38</f>
        <v>0.95097638497365444</v>
      </c>
      <c r="AM38" s="4">
        <f t="shared" ref="AM38" si="165">+T38/$D38</f>
        <v>2.8335927409439309E-2</v>
      </c>
      <c r="AN38" s="4">
        <f t="shared" ref="AN38" si="166">+U38/$D38</f>
        <v>7.9403935374156142E-3</v>
      </c>
      <c r="AO38" s="4">
        <f t="shared" ref="AO38" si="167">+V38/$D38</f>
        <v>3.275382136566292E-3</v>
      </c>
      <c r="AP38" s="4">
        <f t="shared" ref="AP38" si="168">+W38/$D38</f>
        <v>2.3707703763938752E-3</v>
      </c>
      <c r="AQ38" s="4">
        <f t="shared" ref="AQ38" si="169">+X38/$D38</f>
        <v>8.5146614134285598E-4</v>
      </c>
      <c r="AR38" s="4">
        <f t="shared" ref="AR38" si="170">+Y38/$D38</f>
        <v>0</v>
      </c>
    </row>
    <row r="39" spans="1:44" x14ac:dyDescent="0.25">
      <c r="A39">
        <f t="shared" si="16"/>
        <v>35</v>
      </c>
      <c r="B39" s="3">
        <f t="shared" si="30"/>
        <v>43725</v>
      </c>
      <c r="C39" s="41">
        <f>'[256]Part 1'!$C$17</f>
        <v>1107</v>
      </c>
      <c r="D39" s="2">
        <f>'[256]Part 1'!$C$21</f>
        <v>36289037.149999999</v>
      </c>
      <c r="E39" s="44">
        <v>7.5</v>
      </c>
      <c r="F39" s="8">
        <f t="shared" ref="F39" si="171">+D39/D$4</f>
        <v>0.80642267306004234</v>
      </c>
      <c r="G39" s="2">
        <f>'[256]Part 2 - 3'!$C$49</f>
        <v>185499.94</v>
      </c>
      <c r="N39" s="6">
        <f t="shared" ref="N39" si="172">+G39/D38</f>
        <v>5.0739640055103554E-3</v>
      </c>
      <c r="O39" s="6">
        <f t="shared" ref="O39" si="173">1-(+N39-1)^12</f>
        <v>5.9216803862879641E-2</v>
      </c>
      <c r="P39" s="27">
        <f t="shared" ref="P39" si="174">AVERAGE(O37:O39)</f>
        <v>5.4702104936961336E-2</v>
      </c>
      <c r="Q39" s="27">
        <f t="shared" ref="Q39" si="175">AVERAGE(O34:O39)</f>
        <v>4.92643230170281E-2</v>
      </c>
      <c r="R39" s="27">
        <f t="shared" ref="R39" si="176">AVERAGE(O28:O39)</f>
        <v>4.7844543289433612E-2</v>
      </c>
      <c r="S39" s="26">
        <f>'[256]Part 8 - 11'!$C$3</f>
        <v>34527955.979999997</v>
      </c>
      <c r="T39" s="26">
        <f>'[256]Part 8 - 11'!$D$3</f>
        <v>829484.66</v>
      </c>
      <c r="U39" s="26">
        <f>'[256]Part 8 - 11'!$E$3</f>
        <v>420930.36</v>
      </c>
      <c r="V39" s="26">
        <f>'[256]Part 8 - 11'!$F$3</f>
        <v>199714.46</v>
      </c>
      <c r="W39" s="26">
        <f>'[256]Part 8 - 11'!$G$3</f>
        <v>15035.82</v>
      </c>
      <c r="X39" s="26">
        <f>'[256]Part 8 - 11'!$I$3</f>
        <v>36303.99</v>
      </c>
      <c r="Y39" s="26">
        <f>'[256]Part 12 - 13 - Deemed Default'!$L$51</f>
        <v>0</v>
      </c>
      <c r="Z39" s="26">
        <f t="shared" ref="Z39" si="177">+Z38+Y39</f>
        <v>474727.89999999991</v>
      </c>
      <c r="AA39" s="4">
        <f t="shared" ref="AA39" si="178">+Z39/$D$4</f>
        <v>1.0549503986886035E-2</v>
      </c>
      <c r="AB39" s="2">
        <f>'[256]Part 12 - 13 - Deemed Default'!$V$4</f>
        <v>30587018.439999994</v>
      </c>
      <c r="AC39" s="4">
        <f t="shared" ref="AC39" si="179">+AB39/AB$4</f>
        <v>0.77239945555555545</v>
      </c>
      <c r="AD39" s="2">
        <f t="shared" si="99"/>
        <v>26068481.624999996</v>
      </c>
      <c r="AE39" s="2">
        <f>'[256]Part 12 - 13 - Deemed Default'!$V$5</f>
        <v>3529853.0199999986</v>
      </c>
      <c r="AF39" s="8">
        <f t="shared" ref="AF39" si="180">+AE39/$AE$4</f>
        <v>0.78441178222222196</v>
      </c>
      <c r="AG39" s="2">
        <f>'[256]Part 12 - 13 - Deemed Default'!$V$6</f>
        <v>900000</v>
      </c>
      <c r="AH39" s="8">
        <f t="shared" ref="AH39:AH44" si="181">+AG39/$AG$4</f>
        <v>1</v>
      </c>
      <c r="AI39" s="8">
        <f t="shared" ref="AI39" si="182">+AB39/D39</f>
        <v>0.84287214107029551</v>
      </c>
      <c r="AJ39" s="2">
        <f>'[256]Part 5 - 7'!$C$32</f>
        <v>328188.03428749996</v>
      </c>
      <c r="AK39" s="4">
        <f t="shared" ref="AK39" si="183">((+D39+AJ39)-AB39)/D39</f>
        <v>0.16617158287671741</v>
      </c>
      <c r="AL39" s="4">
        <f t="shared" ref="AL39" si="184">+S39/$D39</f>
        <v>0.95147071103814052</v>
      </c>
      <c r="AM39" s="4">
        <f t="shared" ref="AM39" si="185">+T39/$D39</f>
        <v>2.2857720268833311E-2</v>
      </c>
      <c r="AN39" s="4">
        <f t="shared" ref="AN39" si="186">+U39/$D39</f>
        <v>1.1599380778831162E-2</v>
      </c>
      <c r="AO39" s="4">
        <f t="shared" ref="AO39" si="187">+V39/$D39</f>
        <v>5.5034378337040007E-3</v>
      </c>
      <c r="AP39" s="4">
        <f t="shared" ref="AP39" si="188">+W39/$D39</f>
        <v>4.1433504939383602E-4</v>
      </c>
      <c r="AQ39" s="4">
        <f t="shared" ref="AQ39" si="189">+X39/$D39</f>
        <v>1.0004120486839646E-3</v>
      </c>
      <c r="AR39" s="4">
        <f t="shared" ref="AR39" si="190">+Y39/$D39</f>
        <v>0</v>
      </c>
    </row>
    <row r="40" spans="1:44" x14ac:dyDescent="0.25">
      <c r="A40">
        <f t="shared" si="16"/>
        <v>36</v>
      </c>
      <c r="B40" s="3">
        <f t="shared" si="30"/>
        <v>43756</v>
      </c>
      <c r="C40" s="41">
        <f>'[257]Part 1'!$C$17</f>
        <v>1100</v>
      </c>
      <c r="D40" s="2">
        <f>'[257]Part 1'!$C$21</f>
        <v>35945551.600000001</v>
      </c>
      <c r="E40" s="44">
        <v>7.5</v>
      </c>
      <c r="F40" s="8">
        <f t="shared" ref="F40" si="191">+D40/D$4</f>
        <v>0.79878966438462495</v>
      </c>
      <c r="G40" s="2">
        <f>'[257]Part 2 - 3'!$C$49</f>
        <v>177476.82</v>
      </c>
      <c r="N40" s="6">
        <f t="shared" ref="N40" si="192">+G40/D39</f>
        <v>4.8906456036957712E-3</v>
      </c>
      <c r="O40" s="6">
        <f t="shared" ref="O40" si="193">1-(+N40-1)^12</f>
        <v>5.7134585738519039E-2</v>
      </c>
      <c r="P40" s="27">
        <f t="shared" ref="P40" si="194">AVERAGE(O38:O40)</f>
        <v>5.3626102750295702E-2</v>
      </c>
      <c r="Q40" s="27">
        <f t="shared" ref="Q40" si="195">AVERAGE(O35:O40)</f>
        <v>4.6247290734293324E-2</v>
      </c>
      <c r="R40" s="27">
        <f t="shared" ref="R40" si="196">AVERAGE(O29:O40)</f>
        <v>4.8777016711632259E-2</v>
      </c>
      <c r="S40" s="26">
        <f>'[257]Part 8 - 11'!$C$3</f>
        <v>34084703.229999997</v>
      </c>
      <c r="T40" s="26">
        <f>'[257]Part 8 - 11'!$D$3</f>
        <v>823121.6</v>
      </c>
      <c r="U40" s="26">
        <f>'[257]Part 8 - 11'!$E$3</f>
        <v>433858.42</v>
      </c>
      <c r="V40" s="26">
        <f>'[257]Part 8 - 11'!$F$3</f>
        <v>216779.71</v>
      </c>
      <c r="W40" s="26">
        <f>'[257]Part 8 - 11'!$G$3</f>
        <v>127512.77</v>
      </c>
      <c r="X40" s="26">
        <f>'[257]Part 8 - 11'!$I$3</f>
        <v>0</v>
      </c>
      <c r="Y40" s="26">
        <f>'[258]Part 2 - 3'!$C$18</f>
        <v>31128.9</v>
      </c>
      <c r="Z40" s="26">
        <f t="shared" ref="Z40" si="197">+Z39+Y40</f>
        <v>505856.79999999993</v>
      </c>
      <c r="AA40" s="4">
        <f t="shared" ref="AA40" si="198">+Z40/$D$4</f>
        <v>1.1241256998784803E-2</v>
      </c>
      <c r="AB40" s="2">
        <f>'[257]Part 12 - 13 - Deemed Default'!$V$4</f>
        <v>30243568.899999995</v>
      </c>
      <c r="AC40" s="4">
        <f t="shared" ref="AC40" si="199">+AB40/AB$4</f>
        <v>0.76372648737373727</v>
      </c>
      <c r="AD40" s="2">
        <f t="shared" si="99"/>
        <v>25775768.948863633</v>
      </c>
      <c r="AE40" s="2">
        <f>'[257]Part 12 - 13 - Deemed Default'!$V$5</f>
        <v>3497732.8799999985</v>
      </c>
      <c r="AF40" s="8">
        <f t="shared" ref="AF40" si="200">+AE40/$AE$4</f>
        <v>0.77727397333333303</v>
      </c>
      <c r="AG40" s="2">
        <f>'[257]Part 12 - 13 - Deemed Default'!$V$6</f>
        <v>900000</v>
      </c>
      <c r="AH40" s="8">
        <f t="shared" si="181"/>
        <v>1</v>
      </c>
      <c r="AI40" s="8">
        <f t="shared" ref="AI40" si="201">+AB40/D40</f>
        <v>0.84137167337279073</v>
      </c>
      <c r="AJ40" s="2">
        <f>'[257]Part 5 - 7'!$C$32</f>
        <v>324987.07092499995</v>
      </c>
      <c r="AK40" s="4">
        <f t="shared" ref="AK40" si="202">((+D40+AJ40)-AB40)/D40</f>
        <v>0.16766941951518149</v>
      </c>
      <c r="AL40" s="4">
        <f t="shared" ref="AL40" si="203">+S40/$D40</f>
        <v>0.94823146989904572</v>
      </c>
      <c r="AM40" s="4">
        <f t="shared" ref="AM40" si="204">+T40/$D40</f>
        <v>2.289912279437659E-2</v>
      </c>
      <c r="AN40" s="4">
        <f t="shared" ref="AN40" si="205">+U40/$D40</f>
        <v>1.2069877931710469E-2</v>
      </c>
      <c r="AO40" s="4">
        <f t="shared" ref="AO40" si="206">+V40/$D40</f>
        <v>6.0307798976716766E-3</v>
      </c>
      <c r="AP40" s="4">
        <f t="shared" ref="AP40" si="207">+W40/$D40</f>
        <v>3.5473866535407402E-3</v>
      </c>
      <c r="AQ40" s="4">
        <f t="shared" ref="AQ40" si="208">+X40/$D40</f>
        <v>0</v>
      </c>
      <c r="AR40" s="4">
        <f t="shared" ref="AR40" si="209">+Y40/$D40</f>
        <v>8.6600145537897382E-4</v>
      </c>
    </row>
    <row r="41" spans="1:44" x14ac:dyDescent="0.25">
      <c r="A41">
        <f t="shared" si="16"/>
        <v>37</v>
      </c>
      <c r="B41" s="3">
        <f t="shared" si="30"/>
        <v>43787</v>
      </c>
      <c r="C41" s="41">
        <f>'[259]Part 1'!$C$17</f>
        <v>1094</v>
      </c>
      <c r="D41" s="2">
        <f>'[259]Part 1'!$C$21</f>
        <v>35630142.829999998</v>
      </c>
      <c r="E41" s="44">
        <v>7.5</v>
      </c>
      <c r="F41" s="8">
        <f t="shared" ref="F41" si="210">+D41/D$4</f>
        <v>0.79178058386373318</v>
      </c>
      <c r="G41" s="2">
        <f>'[259]Part 2 - 3'!$C$49</f>
        <v>16123.94</v>
      </c>
      <c r="N41" s="6">
        <f t="shared" ref="N41" si="211">+G41/D40</f>
        <v>4.4856565784345901E-4</v>
      </c>
      <c r="O41" s="6">
        <f t="shared" ref="O41" si="212">1-(+N41-1)^12</f>
        <v>5.3695277946457232E-3</v>
      </c>
      <c r="P41" s="27">
        <f t="shared" ref="P41" si="213">AVERAGE(O39:O41)</f>
        <v>4.0573639132014803E-2</v>
      </c>
      <c r="Q41" s="27">
        <f t="shared" ref="Q41" si="214">AVERAGE(O36:O41)</f>
        <v>4.1531246750370954E-2</v>
      </c>
      <c r="R41" s="27">
        <f t="shared" ref="R41" si="215">AVERAGE(O30:O41)</f>
        <v>4.4899270497942519E-2</v>
      </c>
      <c r="S41" s="26">
        <f>'[259]Part 8 - 11'!$C$3</f>
        <v>33674850.640000001</v>
      </c>
      <c r="T41" s="26">
        <f>'[259]Part 8 - 11'!$D$3</f>
        <v>912572.01</v>
      </c>
      <c r="U41" s="26">
        <f>'[259]Part 8 - 11'!$E$3</f>
        <v>430494.11</v>
      </c>
      <c r="V41" s="26">
        <f>'[259]Part 8 - 11'!$F$3</f>
        <v>196837.72</v>
      </c>
      <c r="W41" s="26">
        <f>'[259]Part 8 - 11'!$G$3</f>
        <v>120349.88</v>
      </c>
      <c r="X41" s="26">
        <f>'[259]Part 8 - 11'!$I$3</f>
        <v>57053.08</v>
      </c>
      <c r="Y41" s="26">
        <f>'[259]Part 12 - 13 - Deemed Default'!$L$51</f>
        <v>0</v>
      </c>
      <c r="Z41" s="26">
        <f t="shared" ref="Z41" si="216">+Z40+Y41</f>
        <v>505856.79999999993</v>
      </c>
      <c r="AA41" s="4">
        <f t="shared" ref="AA41" si="217">+Z41/$D$4</f>
        <v>1.1241256998784803E-2</v>
      </c>
      <c r="AB41" s="2">
        <f>'[259]Part 12 - 13 - Deemed Default'!$V$4</f>
        <v>29949750.609999996</v>
      </c>
      <c r="AC41" s="4">
        <f t="shared" ref="AC41" si="218">+AB41/AB$4</f>
        <v>0.75630683358585848</v>
      </c>
      <c r="AD41" s="2">
        <f t="shared" ref="AD41" si="219">+AB41*$AD$2</f>
        <v>25525355.633522723</v>
      </c>
      <c r="AE41" s="2">
        <f>'[259]Part 12 - 13 - Deemed Default'!$V$5</f>
        <v>3401022.4599999986</v>
      </c>
      <c r="AF41" s="8">
        <f t="shared" ref="AF41" si="220">+AE41/$AE$4</f>
        <v>0.75578276888888862</v>
      </c>
      <c r="AG41" s="2">
        <f>'[259]Part 12 - 13 - Deemed Default'!$V$6</f>
        <v>900000</v>
      </c>
      <c r="AH41" s="8">
        <f t="shared" si="181"/>
        <v>1</v>
      </c>
      <c r="AI41" s="8">
        <f t="shared" ref="AI41" si="221">+AB41/D41</f>
        <v>0.84057340866966146</v>
      </c>
      <c r="AJ41" s="2">
        <f>'[259]Part 5 - 7'!$C$32</f>
        <v>319710.61761874997</v>
      </c>
      <c r="AK41" s="4">
        <f t="shared" ref="AK41" si="222">((+D41+AJ41)-AB41)/D41</f>
        <v>0.16839962910748596</v>
      </c>
      <c r="AL41" s="4">
        <f t="shared" ref="AL41" si="223">+S41/$D41</f>
        <v>0.94512252731264179</v>
      </c>
      <c r="AM41" s="4">
        <f t="shared" ref="AM41" si="224">+T41/$D41</f>
        <v>2.5612359017310179E-2</v>
      </c>
      <c r="AN41" s="4">
        <f t="shared" ref="AN41" si="225">+U41/$D41</f>
        <v>1.2082300990315733E-2</v>
      </c>
      <c r="AO41" s="4">
        <f t="shared" ref="AO41" si="226">+V41/$D41</f>
        <v>5.524471819806062E-3</v>
      </c>
      <c r="AP41" s="4">
        <f t="shared" ref="AP41" si="227">+W41/$D41</f>
        <v>3.3777546324812195E-3</v>
      </c>
      <c r="AQ41" s="4">
        <f t="shared" ref="AQ41" si="228">+X41/$D41</f>
        <v>1.6012588069661692E-3</v>
      </c>
      <c r="AR41" s="4">
        <f t="shared" ref="AR41" si="229">+Y41/$D41</f>
        <v>0</v>
      </c>
    </row>
    <row r="42" spans="1:44" x14ac:dyDescent="0.25">
      <c r="A42">
        <f t="shared" si="16"/>
        <v>38</v>
      </c>
      <c r="B42" s="3">
        <f t="shared" si="30"/>
        <v>43818</v>
      </c>
      <c r="C42" s="41">
        <f>'[260]Part 1'!$C$17</f>
        <v>1094</v>
      </c>
      <c r="D42" s="2">
        <f>'[260]Part 1'!$C$21</f>
        <v>35630142.829999998</v>
      </c>
      <c r="E42" s="44">
        <v>7.5</v>
      </c>
      <c r="F42" s="8">
        <f t="shared" ref="F42" si="230">+D42/D$4</f>
        <v>0.79178058386373318</v>
      </c>
      <c r="G42" s="2">
        <f>'[260]Part 2 - 3'!$C$49</f>
        <v>16123.94</v>
      </c>
      <c r="N42" s="6">
        <f t="shared" ref="N42" si="231">+G42/D41</f>
        <v>4.5253649632927956E-4</v>
      </c>
      <c r="O42" s="6">
        <f t="shared" ref="O42" si="232">1-(+N42-1)^12</f>
        <v>5.4169422311097781E-3</v>
      </c>
      <c r="P42" s="27">
        <f t="shared" ref="P42" si="233">AVERAGE(O40:O42)</f>
        <v>2.2640351921424846E-2</v>
      </c>
      <c r="Q42" s="27">
        <f t="shared" ref="Q42" si="234">AVERAGE(O37:O42)</f>
        <v>3.8671228429193093E-2</v>
      </c>
      <c r="R42" s="27">
        <f t="shared" ref="R42" si="235">AVERAGE(O31:O42)</f>
        <v>4.1356471056062528E-2</v>
      </c>
      <c r="S42" s="26">
        <f>'[260]Part 8 - 11'!$C$3</f>
        <v>33674850.640000001</v>
      </c>
      <c r="T42" s="26">
        <f>'[260]Part 8 - 11'!$D$3</f>
        <v>912572.01</v>
      </c>
      <c r="U42" s="26">
        <f>'[260]Part 8 - 11'!$E$3</f>
        <v>430494.11</v>
      </c>
      <c r="V42" s="26">
        <f>'[260]Part 8 - 11'!$F$3</f>
        <v>196837.72</v>
      </c>
      <c r="W42" s="26">
        <f>'[260]Part 8 - 11'!$G$3</f>
        <v>120349.88</v>
      </c>
      <c r="X42" s="26">
        <f>'[260]Part 8 - 11'!$I$3</f>
        <v>57053.08</v>
      </c>
      <c r="Y42" s="26">
        <f>'[260]Part 12 - 13 - Deemed Default'!$L$51</f>
        <v>0</v>
      </c>
      <c r="Z42" s="26">
        <f t="shared" ref="Z42" si="236">+Z41+Y42</f>
        <v>505856.79999999993</v>
      </c>
      <c r="AA42" s="4">
        <f t="shared" ref="AA42" si="237">+Z42/$D$4</f>
        <v>1.1241256998784803E-2</v>
      </c>
      <c r="AB42" s="2">
        <f>'[260]Part 12 - 13 - Deemed Default'!$V$4</f>
        <v>29949750.609999996</v>
      </c>
      <c r="AC42" s="4">
        <f t="shared" ref="AC42" si="238">+AB42/AB$4</f>
        <v>0.75630683358585848</v>
      </c>
      <c r="AD42" s="2">
        <f t="shared" ref="AD42" si="239">+AB42*$AD$2</f>
        <v>25525355.633522723</v>
      </c>
      <c r="AE42" s="2">
        <f>'[260]Part 12 - 13 - Deemed Default'!$V$5</f>
        <v>3401022.4599999986</v>
      </c>
      <c r="AF42" s="8">
        <f t="shared" ref="AF42" si="240">+AE42/$AE$4</f>
        <v>0.75578276888888862</v>
      </c>
      <c r="AG42" s="2">
        <f>'[260]Part 12 - 13 - Deemed Default'!$V$6</f>
        <v>900000</v>
      </c>
      <c r="AH42" s="8">
        <f t="shared" si="181"/>
        <v>1</v>
      </c>
      <c r="AI42" s="8">
        <f t="shared" ref="AI42" si="241">+AB42/D42</f>
        <v>0.84057340866966146</v>
      </c>
      <c r="AJ42" s="2">
        <f>'[260]Part 5 - 7'!$C$32</f>
        <v>319710.61761874997</v>
      </c>
      <c r="AK42" s="4">
        <f t="shared" ref="AK42" si="242">((+D42+AJ42)-AB42)/D42</f>
        <v>0.16839962910748596</v>
      </c>
      <c r="AL42" s="4">
        <f t="shared" ref="AL42" si="243">+S42/$D42</f>
        <v>0.94512252731264179</v>
      </c>
      <c r="AM42" s="4">
        <f t="shared" ref="AM42" si="244">+T42/$D42</f>
        <v>2.5612359017310179E-2</v>
      </c>
      <c r="AN42" s="4">
        <f t="shared" ref="AN42" si="245">+U42/$D42</f>
        <v>1.2082300990315733E-2</v>
      </c>
      <c r="AO42" s="4">
        <f t="shared" ref="AO42" si="246">+V42/$D42</f>
        <v>5.524471819806062E-3</v>
      </c>
      <c r="AP42" s="4">
        <f t="shared" ref="AP42" si="247">+W42/$D42</f>
        <v>3.3777546324812195E-3</v>
      </c>
      <c r="AQ42" s="4">
        <f t="shared" ref="AQ42" si="248">+X42/$D42</f>
        <v>1.6012588069661692E-3</v>
      </c>
      <c r="AR42" s="4">
        <f t="shared" ref="AR42" si="249">+Y42/$D42</f>
        <v>0</v>
      </c>
    </row>
    <row r="43" spans="1:44" x14ac:dyDescent="0.25">
      <c r="A43">
        <f t="shared" si="16"/>
        <v>39</v>
      </c>
      <c r="B43" s="3">
        <f t="shared" si="30"/>
        <v>43849</v>
      </c>
      <c r="C43" s="41">
        <f>'[261]Part 1'!$C$17</f>
        <v>1084</v>
      </c>
      <c r="D43" s="2">
        <f>'[261]Part 1'!$C$21</f>
        <v>35230561.5</v>
      </c>
      <c r="E43" s="44">
        <v>7.5</v>
      </c>
      <c r="F43" s="8">
        <f t="shared" ref="F43" si="250">+D43/D$4</f>
        <v>0.78290100287866737</v>
      </c>
      <c r="G43" s="2">
        <f>'[261]Part 2 - 3'!$C$49</f>
        <v>250134.46</v>
      </c>
      <c r="N43" s="6">
        <f t="shared" ref="N43" si="251">+G43/D42</f>
        <v>7.0203047232634402E-3</v>
      </c>
      <c r="O43" s="6">
        <f t="shared" ref="O43" si="252">1-(+N43-1)^12</f>
        <v>8.1065797516109428E-2</v>
      </c>
      <c r="P43" s="27">
        <f t="shared" ref="P43" si="253">AVERAGE(O41:O43)</f>
        <v>3.0617422513954978E-2</v>
      </c>
      <c r="Q43" s="27">
        <f t="shared" ref="Q43" si="254">AVERAGE(O38:O43)</f>
        <v>4.2121762632125338E-2</v>
      </c>
      <c r="R43" s="27">
        <f t="shared" ref="R43" si="255">AVERAGE(O32:O43)</f>
        <v>4.4992699949706394E-2</v>
      </c>
      <c r="S43" s="26">
        <f>'[261]Part 8 - 11'!$C$3</f>
        <v>33418540.32</v>
      </c>
      <c r="T43" s="26">
        <f>'[261]Part 8 - 11'!$D$3</f>
        <v>802223.93</v>
      </c>
      <c r="U43" s="26">
        <f>'[261]Part 8 - 11'!$E$3</f>
        <v>432146.81</v>
      </c>
      <c r="V43" s="26">
        <f>'[261]Part 8 - 11'!$F$3</f>
        <v>104442.95</v>
      </c>
      <c r="W43" s="26">
        <f>'[261]Part 8 - 11'!$G$3</f>
        <v>127472.21</v>
      </c>
      <c r="X43" s="26">
        <f>'[261]Part 8 - 11'!$I$3</f>
        <v>107788.51</v>
      </c>
      <c r="Y43" s="26">
        <f>'[261]Part 12 - 13 - Deemed Default'!$L$51</f>
        <v>0</v>
      </c>
      <c r="Z43" s="26">
        <f t="shared" ref="Z43" si="256">+Z42+Y43</f>
        <v>505856.79999999993</v>
      </c>
      <c r="AA43" s="4">
        <f t="shared" ref="AA43" si="257">+Z43/$D$4</f>
        <v>1.1241256998784803E-2</v>
      </c>
      <c r="AB43" s="2">
        <f>'[261]Part 12 - 13 - Deemed Default'!$V$4</f>
        <v>29550207.899999995</v>
      </c>
      <c r="AC43" s="4">
        <f t="shared" ref="AC43" si="258">+AB43/AB$4</f>
        <v>0.74621737121212106</v>
      </c>
      <c r="AD43" s="2">
        <f t="shared" ref="AD43" si="259">+AB43*$AD$2</f>
        <v>25184836.278409086</v>
      </c>
      <c r="AE43" s="2">
        <f>'[261]Part 12 - 13 - Deemed Default'!$V$5</f>
        <v>3356906.5499999984</v>
      </c>
      <c r="AF43" s="8">
        <f t="shared" ref="AF43" si="260">+AE43/$AE$4</f>
        <v>0.74597923333333294</v>
      </c>
      <c r="AG43" s="2">
        <f>'[261]Part 12 - 13 - Deemed Default'!$V$6</f>
        <v>900000</v>
      </c>
      <c r="AH43" s="8">
        <f t="shared" si="181"/>
        <v>1</v>
      </c>
      <c r="AI43" s="8">
        <f t="shared" ref="AI43" si="261">+AB43/D43</f>
        <v>0.83876630521486284</v>
      </c>
      <c r="AJ43" s="2">
        <f>'[261]Part 5 - 7'!$C$32</f>
        <v>318216.10023124999</v>
      </c>
      <c r="AK43" s="4">
        <f t="shared" ref="AK43" si="262">((+D43+AJ43)-AB43)/D43</f>
        <v>0.1702660827654211</v>
      </c>
      <c r="AL43" s="4">
        <f t="shared" ref="AL43" si="263">+S43/$D43</f>
        <v>0.9485667811453985</v>
      </c>
      <c r="AM43" s="4">
        <f t="shared" ref="AM43" si="264">+T43/$D43</f>
        <v>2.2770682493947762E-2</v>
      </c>
      <c r="AN43" s="4">
        <f t="shared" ref="AN43" si="265">+U43/$D43</f>
        <v>1.2266248155028695E-2</v>
      </c>
      <c r="AO43" s="4">
        <f t="shared" ref="AO43" si="266">+V43/$D43</f>
        <v>2.9645553619688974E-3</v>
      </c>
      <c r="AP43" s="4">
        <f t="shared" ref="AP43" si="267">+W43/$D43</f>
        <v>3.6182281681772233E-3</v>
      </c>
      <c r="AQ43" s="4">
        <f t="shared" ref="AQ43" si="268">+X43/$D43</f>
        <v>3.0595172319351194E-3</v>
      </c>
      <c r="AR43" s="4">
        <f t="shared" ref="AR43" si="269">+Y43/$D43</f>
        <v>0</v>
      </c>
    </row>
    <row r="44" spans="1:44" x14ac:dyDescent="0.25">
      <c r="A44">
        <f t="shared" si="16"/>
        <v>40</v>
      </c>
      <c r="B44" s="3">
        <f t="shared" si="30"/>
        <v>43880</v>
      </c>
      <c r="C44" s="41">
        <f>'[262]Part 1'!$C$17</f>
        <v>1076</v>
      </c>
      <c r="D44" s="2">
        <f>'[262]Part 1'!$C$21</f>
        <v>34879971.030000001</v>
      </c>
      <c r="E44" s="44">
        <v>7.5</v>
      </c>
      <c r="F44" s="8">
        <f t="shared" ref="F44" si="270">+D44/D$4</f>
        <v>0.77511010716550366</v>
      </c>
      <c r="G44" s="2">
        <f>'[262]Part 2 - 3'!$C$49</f>
        <v>215948.56</v>
      </c>
      <c r="N44" s="6">
        <f t="shared" ref="N44" si="271">+G44/D43</f>
        <v>6.1295804212487502E-3</v>
      </c>
      <c r="O44" s="6">
        <f t="shared" ref="O44" si="272">1-(+N44-1)^12</f>
        <v>7.1125202995866887E-2</v>
      </c>
      <c r="P44" s="27">
        <f t="shared" ref="P44" si="273">AVERAGE(O42:O44)</f>
        <v>5.2535980914362033E-2</v>
      </c>
      <c r="Q44" s="27">
        <f t="shared" ref="Q44" si="274">AVERAGE(O39:O44)</f>
        <v>4.6554810023188418E-2</v>
      </c>
      <c r="R44" s="27">
        <f t="shared" ref="R44" si="275">AVERAGE(O33:O44)</f>
        <v>4.8408955182163871E-2</v>
      </c>
      <c r="S44" s="26">
        <f>'[262]Part 8 - 11'!$C$3</f>
        <v>32966258.109999999</v>
      </c>
      <c r="T44" s="26">
        <f>'[262]Part 8 - 11'!$D$3</f>
        <v>843665.18</v>
      </c>
      <c r="U44" s="26">
        <f>'[262]Part 8 - 11'!$E$3</f>
        <v>590155.53</v>
      </c>
      <c r="V44" s="26">
        <f>'[262]Part 8 - 11'!$F$3</f>
        <v>57213.54</v>
      </c>
      <c r="W44" s="26">
        <f>'[262]Part 8 - 11'!$G$3</f>
        <v>147416.99</v>
      </c>
      <c r="X44" s="26">
        <f>'[262]Part 8 - 11'!$I$3</f>
        <v>32220.04</v>
      </c>
      <c r="Y44" s="26">
        <f>'[263]Part 2 - 3'!$C$18</f>
        <v>36303.99</v>
      </c>
      <c r="Z44" s="26">
        <f t="shared" ref="Z44" si="276">+Z43+Y44</f>
        <v>542160.78999999992</v>
      </c>
      <c r="AA44" s="4">
        <f t="shared" ref="AA44" si="277">+Z44/$D$4</f>
        <v>1.2048011957245999E-2</v>
      </c>
      <c r="AB44" s="2">
        <f>'[262]Part 12 - 13 - Deemed Default'!$V$4</f>
        <v>29194522.559999995</v>
      </c>
      <c r="AC44" s="4">
        <f t="shared" ref="AC44" si="278">+AB44/AB$4</f>
        <v>0.73723541818181804</v>
      </c>
      <c r="AD44" s="2">
        <f t="shared" ref="AD44" si="279">+AB44*$AD$2</f>
        <v>24881695.36363636</v>
      </c>
      <c r="AE44" s="2">
        <f>'[262]Part 12 - 13 - Deemed Default'!$V$5</f>
        <v>3318527.1499999985</v>
      </c>
      <c r="AF44" s="8">
        <f t="shared" ref="AF44" si="280">+AE44/$AE$4</f>
        <v>0.73745047777777739</v>
      </c>
      <c r="AG44" s="2">
        <f>'[262]Part 12 - 13 - Deemed Default'!$V$6</f>
        <v>900000</v>
      </c>
      <c r="AH44" s="8">
        <f t="shared" si="181"/>
        <v>1</v>
      </c>
      <c r="AI44" s="8">
        <f t="shared" ref="AI44" si="281">+AB44/D44</f>
        <v>0.8369996217855229</v>
      </c>
      <c r="AJ44" s="2">
        <f>'[262]Part 5 - 7'!$C$32</f>
        <v>313970.95893749996</v>
      </c>
      <c r="AK44" s="4">
        <f t="shared" ref="AK44" si="282">((+D44+AJ44)-AB44)/D44</f>
        <v>0.17200184666946697</v>
      </c>
      <c r="AL44" s="4">
        <f t="shared" ref="AL44" si="283">+S44/$D44</f>
        <v>0.94513433172424277</v>
      </c>
      <c r="AM44" s="4">
        <f t="shared" ref="AM44" si="284">+T44/$D44</f>
        <v>2.4187668598530943E-2</v>
      </c>
      <c r="AN44" s="4">
        <f t="shared" ref="AN44" si="285">+U44/$D44</f>
        <v>1.6919610669756911E-2</v>
      </c>
      <c r="AO44" s="4">
        <f t="shared" ref="AO44" si="286">+V44/$D44</f>
        <v>1.6402978073230354E-3</v>
      </c>
      <c r="AP44" s="4">
        <f t="shared" ref="AP44" si="287">+W44/$D44</f>
        <v>4.2264080401101176E-3</v>
      </c>
      <c r="AQ44" s="4">
        <f t="shared" ref="AQ44" si="288">+X44/$D44</f>
        <v>9.2374044612272713E-4</v>
      </c>
      <c r="AR44" s="4">
        <f t="shared" ref="AR44" si="289">+Y44/$D44</f>
        <v>1.0408262658468154E-3</v>
      </c>
    </row>
    <row r="45" spans="1:44" x14ac:dyDescent="0.25">
      <c r="A45">
        <f t="shared" si="16"/>
        <v>41</v>
      </c>
      <c r="B45" s="3">
        <f t="shared" si="30"/>
        <v>43911</v>
      </c>
      <c r="C45" s="41">
        <f>'[264]Part 1'!$C$17</f>
        <v>1070</v>
      </c>
      <c r="D45" s="2">
        <f>'[264]Part 1'!$C$21</f>
        <v>34703152.039999999</v>
      </c>
      <c r="E45" s="44">
        <v>7.5</v>
      </c>
      <c r="F45" s="8">
        <f t="shared" ref="F45" si="290">+D45/D$4</f>
        <v>0.77118079810243367</v>
      </c>
      <c r="G45" s="2">
        <f>'[264]Part 2 - 3'!$C$49</f>
        <v>74036.25</v>
      </c>
      <c r="N45" s="6">
        <f t="shared" ref="N45" si="291">+G45/D44</f>
        <v>2.1226006735017636E-3</v>
      </c>
      <c r="O45" s="6">
        <f t="shared" ref="O45" si="292">1-(+N45-1)^12</f>
        <v>2.5175943361241626E-2</v>
      </c>
      <c r="P45" s="27">
        <f t="shared" ref="P45" si="293">AVERAGE(O43:O45)</f>
        <v>5.9122314624405981E-2</v>
      </c>
      <c r="Q45" s="27">
        <f t="shared" ref="Q45" si="294">AVERAGE(O40:O45)</f>
        <v>4.0881333272915411E-2</v>
      </c>
      <c r="R45" s="27">
        <f t="shared" ref="R45" si="295">AVERAGE(O34:O45)</f>
        <v>4.5072828144971759E-2</v>
      </c>
      <c r="S45" s="26">
        <f>'[264]Part 8 - 11'!$C$3</f>
        <v>32669815.07</v>
      </c>
      <c r="T45" s="26">
        <f>'[264]Part 8 - 11'!$D$3</f>
        <v>859669.27</v>
      </c>
      <c r="U45" s="26">
        <f>'[264]Part 8 - 11'!$E$3</f>
        <v>563973.53</v>
      </c>
      <c r="V45" s="26">
        <f>'[264]Part 8 - 11'!$F$3</f>
        <v>177364.69</v>
      </c>
      <c r="W45" s="26">
        <f>'[264]Part 8 - 11'!$G$3</f>
        <v>136355.82999999999</v>
      </c>
      <c r="X45" s="26">
        <f>'[264]Part 8 - 11'!$I$3</f>
        <v>57092.36</v>
      </c>
      <c r="Y45" s="26">
        <f>'[265]Part 2 - 3'!$C$18</f>
        <v>32220.04</v>
      </c>
      <c r="Z45" s="26">
        <f t="shared" ref="Z45:Z50" si="296">+Z44+Y45</f>
        <v>574380.82999999996</v>
      </c>
      <c r="AA45" s="4">
        <f t="shared" ref="AA45" si="297">+Z45/$D$4</f>
        <v>1.2764012513433296E-2</v>
      </c>
      <c r="AB45" s="2">
        <f>'[264]Part 12 - 13 - Deemed Default'!$V$4</f>
        <v>29021863.919999994</v>
      </c>
      <c r="AC45" s="4">
        <f t="shared" ref="AC45" si="298">+AB45/AB$4</f>
        <v>0.73287535151515137</v>
      </c>
      <c r="AD45" s="2">
        <f t="shared" ref="AD45" si="299">+AB45*$AD$2</f>
        <v>24734543.11363636</v>
      </c>
      <c r="AE45" s="2">
        <f>'[264]Part 12 - 13 - Deemed Default'!$V$5</f>
        <v>3288194.2899999986</v>
      </c>
      <c r="AF45" s="8">
        <f t="shared" ref="AF45" si="300">+AE45/$AE$4</f>
        <v>0.73070984222222191</v>
      </c>
      <c r="AG45" s="2">
        <f>'[264]Part 12 - 13 - Deemed Default'!$V$6</f>
        <v>900000</v>
      </c>
      <c r="AH45" s="8">
        <f t="shared" ref="AH45" si="301">+AG45/$AG$4</f>
        <v>1</v>
      </c>
      <c r="AI45" s="8">
        <f t="shared" ref="AI45" si="302">+AB45/D45</f>
        <v>0.83628898857799527</v>
      </c>
      <c r="AJ45" s="2">
        <f>'[264]Part 5 - 7'!$C$32</f>
        <v>310191.80219999998</v>
      </c>
      <c r="AK45" s="4">
        <f t="shared" ref="AK45" si="303">((+D45+AJ45)-AB45)/D45</f>
        <v>0.17264944450273637</v>
      </c>
      <c r="AL45" s="4">
        <f t="shared" ref="AL45" si="304">+S45/$D45</f>
        <v>0.94140771513618393</v>
      </c>
      <c r="AM45" s="4">
        <f t="shared" ref="AM45" si="305">+T45/$D45</f>
        <v>2.4772080328873781E-2</v>
      </c>
      <c r="AN45" s="4">
        <f t="shared" ref="AN45" si="306">+U45/$D45</f>
        <v>1.6251363258010267E-2</v>
      </c>
      <c r="AO45" s="4">
        <f t="shared" ref="AO45" si="307">+V45/$D45</f>
        <v>5.1109100924193749E-3</v>
      </c>
      <c r="AP45" s="4">
        <f t="shared" ref="AP45" si="308">+W45/$D45</f>
        <v>3.9292059073720957E-3</v>
      </c>
      <c r="AQ45" s="4">
        <f t="shared" ref="AQ45" si="309">+X45/$D45</f>
        <v>1.6451635267653341E-3</v>
      </c>
      <c r="AR45" s="4">
        <f t="shared" ref="AR45" si="310">+Y45/$D45</f>
        <v>9.284470748611572E-4</v>
      </c>
    </row>
    <row r="46" spans="1:44" x14ac:dyDescent="0.25">
      <c r="A46">
        <f t="shared" si="16"/>
        <v>42</v>
      </c>
      <c r="B46" s="3">
        <f t="shared" si="30"/>
        <v>43942</v>
      </c>
      <c r="C46" s="41">
        <f>'[266]Part 1'!$C$17</f>
        <v>1069</v>
      </c>
      <c r="D46" s="2">
        <f>'[266]Part 1'!$C$21</f>
        <v>34611721.359999999</v>
      </c>
      <c r="E46" s="44">
        <v>7.5</v>
      </c>
      <c r="F46" s="8">
        <f t="shared" ref="F46" si="311">+D46/D$4</f>
        <v>0.76914900615765069</v>
      </c>
      <c r="G46" s="2">
        <f>'[266]Part 2 - 3'!$C$49</f>
        <v>16209.56</v>
      </c>
      <c r="N46" s="6">
        <f t="shared" ref="N46" si="312">+G46/D45</f>
        <v>4.670918647769034E-4</v>
      </c>
      <c r="O46" s="6">
        <f t="shared" ref="O46" si="313">1-(+N46-1)^12</f>
        <v>5.5907252359984616E-3</v>
      </c>
      <c r="P46" s="27">
        <f t="shared" ref="P46" si="314">AVERAGE(O44:O46)</f>
        <v>3.3963957197702323E-2</v>
      </c>
      <c r="Q46" s="27">
        <f t="shared" ref="Q46" si="315">AVERAGE(O41:O46)</f>
        <v>3.2290689855828648E-2</v>
      </c>
      <c r="R46" s="27">
        <f t="shared" ref="R46" si="316">AVERAGE(O35:O46)</f>
        <v>3.9268990295060986E-2</v>
      </c>
      <c r="S46" s="26">
        <f>'[266]Part 8 - 11'!$C$3</f>
        <v>32721873.050000001</v>
      </c>
      <c r="T46" s="26">
        <f>'[266]Part 8 - 11'!$D$3</f>
        <v>645967.94999999995</v>
      </c>
      <c r="U46" s="26">
        <f>'[266]Part 8 - 11'!$E$3</f>
        <v>647508.63</v>
      </c>
      <c r="V46" s="26">
        <f>'[266]Part 8 - 11'!$F$3</f>
        <v>112494.65</v>
      </c>
      <c r="W46" s="26">
        <f>'[266]Part 8 - 11'!$G$3</f>
        <v>105583.24</v>
      </c>
      <c r="X46" s="26">
        <f>'[266]Part 8 - 11'!$I$3</f>
        <v>103069.28</v>
      </c>
      <c r="Y46" s="26">
        <f>'[267]Part 2 - 3'!$C$18</f>
        <v>36343.269999999997</v>
      </c>
      <c r="Z46" s="26">
        <f t="shared" si="296"/>
        <v>610724.1</v>
      </c>
      <c r="AA46" s="4">
        <f t="shared" ref="AA46" si="317">+Z46/$D$4</f>
        <v>1.3571640360377779E-2</v>
      </c>
      <c r="AB46" s="2">
        <f>'[266]Part 12 - 13 - Deemed Default'!$V$4</f>
        <v>28894089.969999995</v>
      </c>
      <c r="AC46" s="4">
        <f t="shared" ref="AC46" si="318">+AB46/AB$4</f>
        <v>0.72964873661616148</v>
      </c>
      <c r="AD46" s="2">
        <f t="shared" ref="AD46" si="319">+AB46*$AD$2</f>
        <v>24625644.860795449</v>
      </c>
      <c r="AE46" s="2">
        <f>'[266]Part 12 - 13 - Deemed Default'!$V$5</f>
        <v>3278246.4199999985</v>
      </c>
      <c r="AF46" s="8">
        <f t="shared" ref="AF46" si="320">+AE46/$AE$4</f>
        <v>0.72849920444444416</v>
      </c>
      <c r="AG46" s="2">
        <f>'[266]Part 12 - 13 - Deemed Default'!$V$6</f>
        <v>900000</v>
      </c>
      <c r="AH46" s="8">
        <f t="shared" ref="AH46" si="321">+AG46/$AG$4</f>
        <v>1</v>
      </c>
      <c r="AI46" s="8">
        <f t="shared" ref="AI46" si="322">+AB46/D46</f>
        <v>0.83480650007174317</v>
      </c>
      <c r="AJ46" s="2">
        <f>'[266]Part 5 - 7'!$C$45</f>
        <v>308357.30414999998</v>
      </c>
      <c r="AK46" s="4">
        <f t="shared" ref="AK46" si="323">((+D46+AJ46)-AB46)/D46</f>
        <v>0.17410254264655287</v>
      </c>
      <c r="AL46" s="4">
        <f t="shared" ref="AL46" si="324">+S46/$D46</f>
        <v>0.94539860383297625</v>
      </c>
      <c r="AM46" s="4">
        <f t="shared" ref="AM46" si="325">+T46/$D46</f>
        <v>1.8663271418408296E-2</v>
      </c>
      <c r="AN46" s="4">
        <f t="shared" ref="AN46" si="326">+U46/$D46</f>
        <v>1.8707784662461528E-2</v>
      </c>
      <c r="AO46" s="4">
        <f t="shared" ref="AO46" si="327">+V46/$D46</f>
        <v>3.2501894034662943E-3</v>
      </c>
      <c r="AP46" s="4">
        <f t="shared" ref="AP46" si="328">+W46/$D46</f>
        <v>3.0505053158673646E-3</v>
      </c>
      <c r="AQ46" s="4">
        <f t="shared" ref="AQ46" si="329">+X46/$D46</f>
        <v>2.9778721181754017E-3</v>
      </c>
      <c r="AR46" s="4">
        <f t="shared" ref="AR46" si="330">+Y46/$D46</f>
        <v>1.050027810578676E-3</v>
      </c>
    </row>
    <row r="47" spans="1:44" x14ac:dyDescent="0.25">
      <c r="A47">
        <f t="shared" si="16"/>
        <v>43</v>
      </c>
      <c r="B47" s="3">
        <f t="shared" si="30"/>
        <v>43973</v>
      </c>
      <c r="C47" s="41">
        <f>'[268]Part 1'!$C$17</f>
        <v>1068</v>
      </c>
      <c r="D47" s="2">
        <f>'[268]Part 1'!$C$21</f>
        <v>34536177.920000002</v>
      </c>
      <c r="E47" s="44">
        <v>7.5</v>
      </c>
      <c r="F47" s="8">
        <f t="shared" ref="F47" si="331">+D47/D$4</f>
        <v>0.76747026382659533</v>
      </c>
      <c r="G47" s="2">
        <f>'[268]Part 2 - 3'!$C$49</f>
        <v>113.26</v>
      </c>
      <c r="N47" s="6">
        <f t="shared" ref="N47" si="332">+G47/D46</f>
        <v>3.2723018546801337E-6</v>
      </c>
      <c r="O47" s="6">
        <f t="shared" ref="O47" si="333">1-(+N47-1)^12</f>
        <v>3.9266915538571645E-5</v>
      </c>
      <c r="P47" s="27">
        <f t="shared" ref="P47" si="334">AVERAGE(O45:O47)</f>
        <v>1.0268645170926219E-2</v>
      </c>
      <c r="Q47" s="27">
        <f t="shared" ref="Q47" si="335">AVERAGE(O42:O47)</f>
        <v>3.1402313042644125E-2</v>
      </c>
      <c r="R47" s="27">
        <f t="shared" ref="R47" si="336">AVERAGE(O36:O47)</f>
        <v>3.646677989650754E-2</v>
      </c>
      <c r="S47" s="26">
        <f>'[268]Part 8 - 11'!$C$3</f>
        <v>32642340.27</v>
      </c>
      <c r="T47" s="26">
        <f>'[268]Part 8 - 11'!$D$3</f>
        <v>706267.72</v>
      </c>
      <c r="U47" s="26">
        <f>'[268]Part 8 - 11'!$E$3</f>
        <v>602391.72</v>
      </c>
      <c r="V47" s="26">
        <f>'[268]Part 8 - 11'!$F$3</f>
        <v>79133.47</v>
      </c>
      <c r="W47" s="26">
        <f>'[268]Part 8 - 11'!$G$3</f>
        <v>88486.42</v>
      </c>
      <c r="X47" s="26">
        <f>'[268]Part 8 - 11'!$I$3</f>
        <v>39264.480000000003</v>
      </c>
      <c r="Y47" s="26">
        <f>'[269]Part 2 - 3'!$C$18</f>
        <v>54578.630000000005</v>
      </c>
      <c r="Z47" s="26">
        <f t="shared" si="296"/>
        <v>665302.73</v>
      </c>
      <c r="AA47" s="4">
        <f t="shared" ref="AA47" si="337">+Z47/$D$4</f>
        <v>1.4784498241247597E-2</v>
      </c>
      <c r="AB47" s="2">
        <f>'[268]Part 12 - 13 - Deemed Default'!$V$4</f>
        <v>28750423.069999997</v>
      </c>
      <c r="AC47" s="4">
        <f t="shared" ref="AC47" si="338">+AB47/AB$4</f>
        <v>0.72602078459595953</v>
      </c>
      <c r="AD47" s="2">
        <f t="shared" ref="AD47" si="339">+AB47*$AD$2</f>
        <v>24503201.480113633</v>
      </c>
      <c r="AE47" s="2">
        <f>'[268]Part 12 - 13 - Deemed Default'!$V$5</f>
        <v>3278246.4199999985</v>
      </c>
      <c r="AF47" s="8">
        <f t="shared" ref="AF47" si="340">+AE47/$AE$4</f>
        <v>0.72849920444444416</v>
      </c>
      <c r="AG47" s="2">
        <f>'[268]Part 12 - 13 - Deemed Default'!$V$6</f>
        <v>900000</v>
      </c>
      <c r="AH47" s="8">
        <f t="shared" ref="AH47" si="341">+AG47/$AG$4</f>
        <v>1</v>
      </c>
      <c r="AI47" s="8">
        <f t="shared" ref="AI47" si="342">+AB47/D47</f>
        <v>0.83247263598762455</v>
      </c>
      <c r="AJ47" s="2">
        <f>'[268]Part 5 - 7'!$C$45</f>
        <v>306999.70593124995</v>
      </c>
      <c r="AK47" s="4">
        <f t="shared" ref="AK47" si="343">((+D47+AJ47)-AB47)/D47</f>
        <v>0.17641658466216437</v>
      </c>
      <c r="AL47" s="4">
        <f t="shared" ref="AL47" si="344">+S47/$D47</f>
        <v>0.9451636583994063</v>
      </c>
      <c r="AM47" s="4">
        <f t="shared" ref="AM47" si="345">+T47/$D47</f>
        <v>2.0450083435289413E-2</v>
      </c>
      <c r="AN47" s="4">
        <f t="shared" ref="AN47" si="346">+U47/$D47</f>
        <v>1.7442338911832892E-2</v>
      </c>
      <c r="AO47" s="4">
        <f t="shared" ref="AO47" si="347">+V47/$D47</f>
        <v>2.2913210078806543E-3</v>
      </c>
      <c r="AP47" s="4">
        <f t="shared" ref="AP47" si="348">+W47/$D47</f>
        <v>2.562137020633E-3</v>
      </c>
      <c r="AQ47" s="4">
        <f t="shared" ref="AQ47" si="349">+X47/$D47</f>
        <v>1.1369086669333443E-3</v>
      </c>
      <c r="AR47" s="4">
        <f t="shared" ref="AR47" si="350">+Y47/$D47</f>
        <v>1.5803320832556101E-3</v>
      </c>
    </row>
    <row r="48" spans="1:44" x14ac:dyDescent="0.25">
      <c r="A48">
        <f t="shared" si="16"/>
        <v>44</v>
      </c>
      <c r="B48" s="3">
        <f t="shared" si="30"/>
        <v>44004</v>
      </c>
      <c r="C48" s="41">
        <f>'[270]Part 1'!$C$17</f>
        <v>1067</v>
      </c>
      <c r="D48" s="2">
        <f>'[270]Part 1'!$C$21</f>
        <v>34435642.289999999</v>
      </c>
      <c r="E48" s="44">
        <v>7.5</v>
      </c>
      <c r="F48" s="8">
        <f t="shared" ref="F48" si="351">+D48/D$4</f>
        <v>0.76523613975360705</v>
      </c>
      <c r="G48" s="2">
        <f>'[270]Part 2 - 3'!$C$49</f>
        <v>24184.94</v>
      </c>
      <c r="N48" s="6">
        <f t="shared" ref="N48" si="352">+G48/D47</f>
        <v>7.0027841691174604E-4</v>
      </c>
      <c r="O48" s="6">
        <f t="shared" ref="O48" si="353">1-(+N48-1)^12</f>
        <v>8.371050703273375E-3</v>
      </c>
      <c r="P48" s="27">
        <f t="shared" ref="P48" si="354">AVERAGE(O46:O48)</f>
        <v>4.667014284936803E-3</v>
      </c>
      <c r="Q48" s="27">
        <f t="shared" ref="Q48" si="355">AVERAGE(O43:O48)</f>
        <v>3.1894664454671394E-2</v>
      </c>
      <c r="R48" s="27">
        <f t="shared" ref="R48" si="356">AVERAGE(O37:O48)</f>
        <v>3.5282946441932243E-2</v>
      </c>
      <c r="S48" s="26">
        <f>'[270]Part 8 - 11'!$C$3</f>
        <v>32584095.759999998</v>
      </c>
      <c r="T48" s="26">
        <f>'[270]Part 8 - 11'!$D$3</f>
        <v>710898.02</v>
      </c>
      <c r="U48" s="26">
        <f>'[270]Part 8 - 11'!$E$3</f>
        <v>555492.97</v>
      </c>
      <c r="V48" s="26">
        <f>'[270]Part 8 - 11'!$F$3</f>
        <v>47463.66</v>
      </c>
      <c r="W48" s="26">
        <f>'[270]Part 8 - 11'!$G$3</f>
        <v>20804.75</v>
      </c>
      <c r="X48" s="26">
        <f>'[270]Part 8 - 11'!$I$3</f>
        <v>99328.81</v>
      </c>
      <c r="Y48" s="26">
        <f>'[271]Part 2 - 3'!$C$18</f>
        <v>49718.22</v>
      </c>
      <c r="Z48" s="26">
        <f t="shared" si="296"/>
        <v>715020.95</v>
      </c>
      <c r="AA48" s="4">
        <f t="shared" ref="AA48" si="357">+Z48/$D$4</f>
        <v>1.5889347061194509E-2</v>
      </c>
      <c r="AB48" s="2">
        <f>'[270]Part 12 - 13 - Deemed Default'!$V$4</f>
        <v>28593089.529999997</v>
      </c>
      <c r="AC48" s="4">
        <f t="shared" ref="AC48" si="358">+AB48/AB$4</f>
        <v>0.72204771540404034</v>
      </c>
      <c r="AD48" s="2">
        <f t="shared" ref="AD48" si="359">+AB48*$AD$2</f>
        <v>24369110.394886363</v>
      </c>
      <c r="AE48" s="2">
        <f>'[270]Part 12 - 13 - Deemed Default'!$V$5</f>
        <v>3278246.4199999985</v>
      </c>
      <c r="AF48" s="8">
        <f t="shared" ref="AF48" si="360">+AE48/$AE$4</f>
        <v>0.72849920444444416</v>
      </c>
      <c r="AG48" s="2">
        <f>'[270]Part 12 - 13 - Deemed Default'!$V$6</f>
        <v>900000</v>
      </c>
      <c r="AH48" s="8">
        <f t="shared" ref="AH48" si="361">+AG48/$AG$4</f>
        <v>1</v>
      </c>
      <c r="AI48" s="8">
        <f t="shared" ref="AI48" si="362">+AB48/D48</f>
        <v>0.83033414301388941</v>
      </c>
      <c r="AJ48" s="2">
        <f>'[270]Part 5 - 7'!$C$45</f>
        <v>305473.24511874997</v>
      </c>
      <c r="AK48" s="4">
        <f t="shared" ref="AK48" si="363">((+D48+AJ48)-AB48)/D48</f>
        <v>0.17853670198287896</v>
      </c>
      <c r="AL48" s="4">
        <f t="shared" ref="AL48" si="364">+S48/$D48</f>
        <v>0.94623168302170202</v>
      </c>
      <c r="AM48" s="4">
        <f t="shared" ref="AM48" si="365">+T48/$D48</f>
        <v>2.0644250338447804E-2</v>
      </c>
      <c r="AN48" s="4">
        <f t="shared" ref="AN48" si="366">+U48/$D48</f>
        <v>1.6131337563618304E-2</v>
      </c>
      <c r="AO48" s="4">
        <f t="shared" ref="AO48" si="367">+V48/$D48</f>
        <v>1.3783294529628478E-3</v>
      </c>
      <c r="AP48" s="4">
        <f t="shared" ref="AP48" si="368">+W48/$D48</f>
        <v>6.0416326272623737E-4</v>
      </c>
      <c r="AQ48" s="4">
        <f t="shared" ref="AQ48" si="369">+X48/$D48</f>
        <v>2.8844767628697539E-3</v>
      </c>
      <c r="AR48" s="4">
        <f t="shared" ref="AR48" si="370">+Y48/$D48</f>
        <v>1.4438011517629806E-3</v>
      </c>
    </row>
    <row r="49" spans="1:44" x14ac:dyDescent="0.25">
      <c r="A49">
        <f t="shared" si="16"/>
        <v>45</v>
      </c>
      <c r="B49" s="3">
        <f t="shared" si="30"/>
        <v>44035</v>
      </c>
      <c r="C49" s="41">
        <f>'[272]Part 1'!$C$17</f>
        <v>1061</v>
      </c>
      <c r="D49" s="2">
        <f>'[272]Part 1'!$C$21</f>
        <v>34146563.469999999</v>
      </c>
      <c r="E49" s="44">
        <v>7.5</v>
      </c>
      <c r="F49" s="8">
        <f t="shared" ref="F49" si="371">+D49/D$4</f>
        <v>0.75881216896083437</v>
      </c>
      <c r="G49" s="2">
        <f>'[272]Part 2 - 3'!$C$49</f>
        <v>55390.16</v>
      </c>
      <c r="N49" s="6">
        <f t="shared" ref="N49" si="372">+G49/D48</f>
        <v>1.6085124689567683E-3</v>
      </c>
      <c r="O49" s="6">
        <f t="shared" ref="O49" si="373">1-(+N49-1)^12</f>
        <v>1.9132299285750665E-2</v>
      </c>
      <c r="P49" s="27">
        <f t="shared" ref="P49" si="374">AVERAGE(O47:O49)</f>
        <v>9.1808723015208704E-3</v>
      </c>
      <c r="Q49" s="27">
        <f t="shared" ref="Q49" si="375">AVERAGE(O44:O49)</f>
        <v>2.1572414749611597E-2</v>
      </c>
      <c r="R49" s="27">
        <f t="shared" ref="R49" si="376">AVERAGE(O38:O49)</f>
        <v>3.1847088690868469E-2</v>
      </c>
      <c r="S49" s="26">
        <f>'[272]Part 8 - 11'!$C$3</f>
        <v>32303837.670000002</v>
      </c>
      <c r="T49" s="26">
        <f>'[272]Part 8 - 11'!$D$3</f>
        <v>750926.3</v>
      </c>
      <c r="U49" s="26">
        <f>'[273]Part 8 - 11'!$E$3</f>
        <v>615281.05000000005</v>
      </c>
      <c r="V49" s="26">
        <f>'[272]Part 8 - 11'!$F$3</f>
        <v>124909.31</v>
      </c>
      <c r="W49" s="26">
        <f>'[272]Part 8 - 11'!$G$3</f>
        <v>47146.38</v>
      </c>
      <c r="X49" s="26">
        <f>'[272]Part 8 - 11'!$I$3</f>
        <v>20804.75</v>
      </c>
      <c r="Y49" s="26">
        <f>'[273]Part 2 - 3'!$C$18</f>
        <v>0</v>
      </c>
      <c r="Z49" s="26">
        <f t="shared" si="296"/>
        <v>715020.95</v>
      </c>
      <c r="AA49" s="4">
        <f t="shared" ref="AA49" si="377">+Z49/$D$4</f>
        <v>1.5889347061194509E-2</v>
      </c>
      <c r="AB49" s="2">
        <f>'[272]Part 12 - 13 - Deemed Default'!$V$4</f>
        <v>28289754.089999996</v>
      </c>
      <c r="AC49" s="4">
        <f t="shared" ref="AC49" si="378">+AB49/AB$4</f>
        <v>0.71438772954545449</v>
      </c>
      <c r="AD49" s="2">
        <f t="shared" ref="AD49" si="379">+AB49*$AD$2</f>
        <v>24110585.87215909</v>
      </c>
      <c r="AE49" s="2">
        <f>'[272]Part 12 - 13 - Deemed Default'!$V$5</f>
        <v>3226202.7199999988</v>
      </c>
      <c r="AF49" s="8">
        <f t="shared" ref="AF49" si="380">+AE49/$AE$4</f>
        <v>0.71693393777777747</v>
      </c>
      <c r="AG49" s="2">
        <f>'[272]Part 12 - 13 - Deemed Default'!$V$6</f>
        <v>900000</v>
      </c>
      <c r="AH49" s="8">
        <f t="shared" ref="AH49" si="381">+AG49/$AG$4</f>
        <v>1</v>
      </c>
      <c r="AI49" s="8">
        <f t="shared" ref="AI49" si="382">+AB49/D49</f>
        <v>0.82848026902778682</v>
      </c>
      <c r="AJ49" s="2">
        <f>'[272]Part 5 - 7'!$C$45</f>
        <v>301886.50925624999</v>
      </c>
      <c r="AK49" s="4">
        <f t="shared" ref="AK49" si="383">((+D49+AJ49)-AB49)/D49</f>
        <v>0.18036063554878878</v>
      </c>
      <c r="AL49" s="4">
        <f t="shared" ref="AL49" si="384">+S49/$D49</f>
        <v>0.94603480957552422</v>
      </c>
      <c r="AM49" s="4">
        <f t="shared" ref="AM49" si="385">+T49/$D49</f>
        <v>2.19912700925157E-2</v>
      </c>
      <c r="AN49" s="4">
        <f t="shared" ref="AN49" si="386">+U49/$D49</f>
        <v>1.8018827884116798E-2</v>
      </c>
      <c r="AO49" s="4">
        <f t="shared" ref="AO49" si="387">+V49/$D49</f>
        <v>3.6580345811296953E-3</v>
      </c>
      <c r="AP49" s="4">
        <f t="shared" ref="AP49" si="388">+W49/$D49</f>
        <v>1.3807064374551539E-3</v>
      </c>
      <c r="AQ49" s="4">
        <f t="shared" ref="AQ49" si="389">+X49/$D49</f>
        <v>6.0927800299079413E-4</v>
      </c>
      <c r="AR49" s="4">
        <f t="shared" ref="AR49" si="390">+Y49/$D49</f>
        <v>0</v>
      </c>
    </row>
    <row r="50" spans="1:44" x14ac:dyDescent="0.25">
      <c r="A50">
        <f t="shared" si="16"/>
        <v>46</v>
      </c>
      <c r="B50" s="3">
        <f t="shared" si="30"/>
        <v>44066</v>
      </c>
      <c r="C50" s="41">
        <f>'[274]Part 1'!$C$17</f>
        <v>1061</v>
      </c>
      <c r="D50" s="2">
        <f>'[275]Part 1'!$C$21</f>
        <v>34146563.469999999</v>
      </c>
      <c r="E50" s="44">
        <v>7.5</v>
      </c>
      <c r="F50" s="8">
        <f t="shared" ref="F50" si="391">+D50/D$4</f>
        <v>0.75881216896083437</v>
      </c>
      <c r="G50" s="2">
        <f>'[275]Part 2 - 3'!$C$49</f>
        <v>55390.16</v>
      </c>
      <c r="N50" s="6">
        <f t="shared" ref="N50" si="392">+G50/D49</f>
        <v>1.6221298535257845E-3</v>
      </c>
      <c r="O50" s="6">
        <f t="shared" ref="O50" si="393">1-(+N50-1)^12</f>
        <v>1.9292827706791527E-2</v>
      </c>
      <c r="P50" s="27">
        <f t="shared" ref="P50" si="394">AVERAGE(O48:O50)</f>
        <v>1.5598725898605189E-2</v>
      </c>
      <c r="Q50" s="27">
        <f t="shared" ref="Q50" si="395">AVERAGE(O45:O50)</f>
        <v>1.2933685534765704E-2</v>
      </c>
      <c r="R50" s="27">
        <f t="shared" ref="R50" si="396">AVERAGE(O39:O50)</f>
        <v>2.9744247778977061E-2</v>
      </c>
      <c r="S50" s="26">
        <f>'[275]Part 8 - 11'!$C$3</f>
        <v>32303837.670000002</v>
      </c>
      <c r="T50" s="26">
        <f>'[275]Part 8 - 11'!$D$3</f>
        <v>750926.3</v>
      </c>
      <c r="U50" s="26">
        <f>'[276]Part 8 - 11'!$E$3</f>
        <v>484536.51</v>
      </c>
      <c r="V50" s="26">
        <f>'[275]Part 8 - 11'!$F$3</f>
        <v>124909.31</v>
      </c>
      <c r="W50" s="26">
        <f>'[275]Part 8 - 11'!$G$3</f>
        <v>47146.38</v>
      </c>
      <c r="X50" s="26">
        <f>'[275]Part 8 - 11'!$I$3</f>
        <v>20804.75</v>
      </c>
      <c r="Y50" s="26">
        <f>'[276]Part 2 - 3'!$C$18</f>
        <v>0</v>
      </c>
      <c r="Z50" s="26">
        <f t="shared" si="296"/>
        <v>715020.95</v>
      </c>
      <c r="AA50" s="4">
        <f t="shared" ref="AA50" si="397">+Z50/$D$4</f>
        <v>1.5889347061194509E-2</v>
      </c>
      <c r="AB50" s="2">
        <f>'[275]Part 12 - 13 - Deemed Default'!$V$4</f>
        <v>28289754.089999996</v>
      </c>
      <c r="AC50" s="4">
        <f t="shared" ref="AC50" si="398">+AB50/AB$4</f>
        <v>0.71438772954545449</v>
      </c>
      <c r="AD50" s="2">
        <f t="shared" ref="AD50" si="399">+AB50*$AD$2</f>
        <v>24110585.87215909</v>
      </c>
      <c r="AE50" s="2">
        <f>'[275]Part 12 - 13 - Deemed Default'!$V$5</f>
        <v>3226202.7199999988</v>
      </c>
      <c r="AF50" s="8">
        <f t="shared" ref="AF50" si="400">+AE50/$AE$4</f>
        <v>0.71693393777777747</v>
      </c>
      <c r="AG50" s="2">
        <f>'[275]Part 12 - 13 - Deemed Default'!$V$6</f>
        <v>900000</v>
      </c>
      <c r="AH50" s="8">
        <f t="shared" ref="AH50" si="401">+AG50/$AG$4</f>
        <v>1</v>
      </c>
      <c r="AI50" s="8">
        <f t="shared" ref="AI50" si="402">+AB50/D50</f>
        <v>0.82848026902778682</v>
      </c>
      <c r="AJ50" s="2">
        <f>'[275]Part 5 - 7'!$C$45</f>
        <v>301886.50925624999</v>
      </c>
      <c r="AK50" s="4">
        <f t="shared" ref="AK50" si="403">((+D50+AJ50)-AB50)/D50</f>
        <v>0.18036063554878878</v>
      </c>
      <c r="AL50" s="4">
        <f t="shared" ref="AL50" si="404">+S50/$D50</f>
        <v>0.94603480957552422</v>
      </c>
      <c r="AM50" s="4">
        <f t="shared" ref="AM50" si="405">+T50/$D50</f>
        <v>2.19912700925157E-2</v>
      </c>
      <c r="AN50" s="4">
        <f t="shared" ref="AN50" si="406">+U50/$D50</f>
        <v>1.4189905535463244E-2</v>
      </c>
      <c r="AO50" s="4">
        <f t="shared" ref="AO50" si="407">+V50/$D50</f>
        <v>3.6580345811296953E-3</v>
      </c>
      <c r="AP50" s="4">
        <f t="shared" ref="AP50" si="408">+W50/$D50</f>
        <v>1.3807064374551539E-3</v>
      </c>
      <c r="AQ50" s="4">
        <f t="shared" ref="AQ50" si="409">+X50/$D50</f>
        <v>6.0927800299079413E-4</v>
      </c>
      <c r="AR50" s="4">
        <f t="shared" ref="AR50" si="410">+Y50/$D50</f>
        <v>0</v>
      </c>
    </row>
    <row r="51" spans="1:44" x14ac:dyDescent="0.25">
      <c r="A51">
        <f t="shared" si="16"/>
        <v>47</v>
      </c>
      <c r="B51" s="3">
        <f t="shared" si="30"/>
        <v>44097</v>
      </c>
      <c r="C51" s="41">
        <f>'[277]Part 1'!$C$17</f>
        <v>1048</v>
      </c>
      <c r="D51" s="2">
        <f>'[277]Part 1'!$C$21</f>
        <v>33572690.460000001</v>
      </c>
      <c r="E51" s="44">
        <v>7.5</v>
      </c>
      <c r="F51" s="8">
        <f t="shared" ref="F51" si="411">+D51/D$4</f>
        <v>0.74605944133104629</v>
      </c>
      <c r="G51" s="2">
        <f>'[277]Part 2 - 3'!$C$49</f>
        <v>144213.84</v>
      </c>
      <c r="N51" s="6">
        <f t="shared" ref="N51" si="412">+G51/D50</f>
        <v>4.2233778554817483E-3</v>
      </c>
      <c r="O51" s="6">
        <f t="shared" ref="O51" si="413">1-(+N51-1)^12</f>
        <v>4.951971413612144E-2</v>
      </c>
      <c r="P51" s="27">
        <f t="shared" ref="P51" si="414">AVERAGE(O49:O51)</f>
        <v>2.9314947042887878E-2</v>
      </c>
      <c r="Q51" s="27">
        <f t="shared" ref="Q51" si="415">AVERAGE(O46:O51)</f>
        <v>1.6990980663912341E-2</v>
      </c>
      <c r="R51" s="27">
        <f t="shared" ref="R51" si="416">AVERAGE(O40:O51)</f>
        <v>2.8936156968413878E-2</v>
      </c>
      <c r="S51" s="26">
        <f>'[277]Part 8 - 11'!$C$3</f>
        <v>31515196.060000002</v>
      </c>
      <c r="T51" s="26">
        <f>'[277]Part 8 - 11'!$D$3</f>
        <v>908029.88</v>
      </c>
      <c r="U51" s="26">
        <f>'[278]Part 8 - 11'!$E$3</f>
        <v>315256.74</v>
      </c>
      <c r="V51" s="26">
        <f>'[277]Part 8 - 11'!$F$3</f>
        <v>188061.28</v>
      </c>
      <c r="W51" s="26">
        <f>'[277]Part 8 - 11'!$G$3</f>
        <v>36303.99</v>
      </c>
      <c r="X51" s="26">
        <f>'[277]Part 8 - 11'!$I$3</f>
        <v>0</v>
      </c>
      <c r="Y51" s="26">
        <f>'[278]Part 2 - 3'!$C$18</f>
        <v>20804.75</v>
      </c>
      <c r="Z51" s="26">
        <f t="shared" ref="Z51" si="417">+Z50+Y51</f>
        <v>735825.7</v>
      </c>
      <c r="AA51" s="4">
        <f t="shared" ref="AA51" si="418">+Z51/$D$4</f>
        <v>1.635167462414408E-2</v>
      </c>
      <c r="AB51" s="2">
        <f>'[277]Part 12 - 13 - Deemed Default'!$V$4</f>
        <v>27684383.419999998</v>
      </c>
      <c r="AC51" s="4">
        <f t="shared" ref="AC51" si="419">+AB51/AB$4</f>
        <v>0.69910059141414138</v>
      </c>
      <c r="AD51" s="2">
        <f t="shared" ref="AD51" si="420">+AB51*$AD$2</f>
        <v>23594644.960227273</v>
      </c>
      <c r="AE51" s="2">
        <f>'[277]Part 12 - 13 - Deemed Default'!$V$5</f>
        <v>3200661.9299999988</v>
      </c>
      <c r="AF51" s="8">
        <f t="shared" ref="AF51" si="421">+AE51/$AE$4</f>
        <v>0.71125820666666639</v>
      </c>
      <c r="AG51" s="2">
        <f>'[277]Part 12 - 13 - Deemed Default'!$V$6</f>
        <v>900000</v>
      </c>
      <c r="AH51" s="8">
        <f t="shared" ref="AH51" si="422">+AG51/$AG$4</f>
        <v>1</v>
      </c>
      <c r="AI51" s="8">
        <f t="shared" ref="AI51" si="423">+AB51/D51</f>
        <v>0.8246102126662862</v>
      </c>
      <c r="AJ51" s="2">
        <f>'[277]Part 5 - 7'!$C$45</f>
        <v>297266.26816874999</v>
      </c>
      <c r="AK51" s="4">
        <f t="shared" ref="AK51" si="424">((+D51+AJ51)-AB51)/D51</f>
        <v>0.18424419441565215</v>
      </c>
      <c r="AL51" s="4">
        <f t="shared" ref="AL51" si="425">+S51/$D51</f>
        <v>0.93871523634808507</v>
      </c>
      <c r="AM51" s="4">
        <f t="shared" ref="AM51" si="426">+T51/$D51</f>
        <v>2.7046681917907867E-2</v>
      </c>
      <c r="AN51" s="4">
        <f t="shared" ref="AN51" si="427">+U51/$D51</f>
        <v>9.3902733346798908E-3</v>
      </c>
      <c r="AO51" s="4">
        <f t="shared" ref="AO51" si="428">+V51/$D51</f>
        <v>5.6016148072512862E-3</v>
      </c>
      <c r="AP51" s="4">
        <f t="shared" ref="AP51" si="429">+W51/$D51</f>
        <v>1.0813548006602029E-3</v>
      </c>
      <c r="AQ51" s="4">
        <f t="shared" ref="AQ51" si="430">+X51/$D51</f>
        <v>0</v>
      </c>
      <c r="AR51" s="4">
        <f t="shared" ref="AR51" si="431">+Y51/$D51</f>
        <v>6.1969266433346197E-4</v>
      </c>
    </row>
    <row r="52" spans="1:44" x14ac:dyDescent="0.25">
      <c r="A52">
        <f t="shared" si="16"/>
        <v>48</v>
      </c>
      <c r="B52" s="3">
        <f t="shared" si="30"/>
        <v>44128</v>
      </c>
      <c r="C52" s="41">
        <f>'[279]Part 1'!$C$17</f>
        <v>1042</v>
      </c>
      <c r="D52" s="2">
        <f>'[279]Part 1'!$C$21</f>
        <v>33403635.16</v>
      </c>
      <c r="E52" s="44">
        <v>7.5</v>
      </c>
      <c r="F52" s="8">
        <f t="shared" ref="F52" si="432">+D52/D$4</f>
        <v>0.74230265863225353</v>
      </c>
      <c r="G52" s="2">
        <f>'[279]Part 2 - 3'!$C$49</f>
        <v>69709.899999999994</v>
      </c>
      <c r="N52" s="6">
        <f t="shared" ref="N52" si="433">+G52/D51</f>
        <v>2.0763870587927852E-3</v>
      </c>
      <c r="O52" s="6">
        <f t="shared" ref="O52" si="434">1-(+N52-1)^12</f>
        <v>2.463405370462235E-2</v>
      </c>
      <c r="P52" s="27">
        <f t="shared" ref="P52" si="435">AVERAGE(O50:O52)</f>
        <v>3.1148865182511771E-2</v>
      </c>
      <c r="Q52" s="27">
        <f t="shared" ref="Q52" si="436">AVERAGE(O47:O52)</f>
        <v>2.0164868742016322E-2</v>
      </c>
      <c r="R52" s="27">
        <f t="shared" ref="R52" si="437">AVERAGE(O41:O52)</f>
        <v>2.6227779298922487E-2</v>
      </c>
      <c r="S52" s="26">
        <f>'[279]Part 8 - 11'!$C$3</f>
        <v>31466766.270000003</v>
      </c>
      <c r="T52" s="26">
        <f>'[279]Part 8 - 11'!$D$3</f>
        <v>779754.5</v>
      </c>
      <c r="U52" s="26">
        <f>'[280]Part 8 - 11'!$E$3</f>
        <v>479199.04</v>
      </c>
      <c r="V52" s="26">
        <f>'[279]Part 8 - 11'!$F$3</f>
        <v>137131.51</v>
      </c>
      <c r="W52" s="26">
        <f>'[279]Part 8 - 11'!$G$3</f>
        <v>22590.05</v>
      </c>
      <c r="X52" s="26">
        <f>'[279]Part 8 - 11'!$I$3</f>
        <v>31647.14</v>
      </c>
      <c r="Y52" s="26">
        <f>'[280]Part 2 - 3'!$C$18</f>
        <v>10842.39</v>
      </c>
      <c r="Z52" s="26">
        <f t="shared" ref="Z52" si="438">+Z51+Y52</f>
        <v>746668.09</v>
      </c>
      <c r="AA52" s="4">
        <f t="shared" ref="AA52" si="439">+Z52/$D$4</f>
        <v>1.6592616512186416E-2</v>
      </c>
      <c r="AB52" s="2">
        <f>'[279]Part 12 - 13 - Deemed Default'!$V$4</f>
        <v>27547050.129999999</v>
      </c>
      <c r="AC52" s="4">
        <f t="shared" ref="AC52" si="440">+AB52/AB$4</f>
        <v>0.69563257904040399</v>
      </c>
      <c r="AD52" s="2">
        <f t="shared" ref="AD52" si="441">+AB52*$AD$2</f>
        <v>23477599.542613637</v>
      </c>
      <c r="AE52" s="2">
        <f>'[279]Part 12 - 13 - Deemed Default'!$V$5</f>
        <v>3134500.3399999989</v>
      </c>
      <c r="AF52" s="8">
        <f t="shared" ref="AF52" si="442">+AE52/$AE$4</f>
        <v>0.69655563111111085</v>
      </c>
      <c r="AG52" s="2">
        <f>'[279]Part 12 - 13 - Deemed Default'!$V$6</f>
        <v>900000</v>
      </c>
      <c r="AH52" s="8">
        <f t="shared" ref="AH52" si="443">+AG52/$AG$4</f>
        <v>1</v>
      </c>
      <c r="AI52" s="8">
        <f t="shared" ref="AI52" si="444">+AB52/D52</f>
        <v>0.82467222498546766</v>
      </c>
      <c r="AJ52" s="2">
        <f>'[279]Part 5 - 7'!$C$45</f>
        <v>294146.57383750001</v>
      </c>
      <c r="AK52" s="4">
        <f t="shared" ref="AK52" si="445">((+D52+AJ52)-AB52)/D52</f>
        <v>0.18413360026165193</v>
      </c>
      <c r="AL52" s="4">
        <f t="shared" ref="AL52" si="446">+S52/$D52</f>
        <v>0.94201622426054554</v>
      </c>
      <c r="AM52" s="4">
        <f t="shared" ref="AM52" si="447">+T52/$D52</f>
        <v>2.3343402484940802E-2</v>
      </c>
      <c r="AN52" s="4">
        <f t="shared" ref="AN52" si="448">+U52/$D52</f>
        <v>1.4345715300286497E-2</v>
      </c>
      <c r="AO52" s="4">
        <f t="shared" ref="AO52" si="449">+V52/$D52</f>
        <v>4.1052870246951895E-3</v>
      </c>
      <c r="AP52" s="4">
        <f t="shared" ref="AP52" si="450">+W52/$D52</f>
        <v>6.7627519854638479E-4</v>
      </c>
      <c r="AQ52" s="4">
        <f t="shared" ref="AQ52" si="451">+X52/$D52</f>
        <v>9.474160476371339E-4</v>
      </c>
      <c r="AR52" s="4">
        <f t="shared" ref="AR52" si="452">+Y52/$D52</f>
        <v>3.2458712795975823E-4</v>
      </c>
    </row>
    <row r="53" spans="1:44" x14ac:dyDescent="0.25">
      <c r="A53">
        <f t="shared" si="16"/>
        <v>49</v>
      </c>
      <c r="B53" s="3">
        <f t="shared" si="30"/>
        <v>44159</v>
      </c>
      <c r="C53" s="41">
        <f>'[281]Part 1'!$C$17</f>
        <v>1042</v>
      </c>
      <c r="D53" s="2">
        <f>'[281]Part 1'!$C$21</f>
        <v>33403635.16</v>
      </c>
      <c r="E53" s="44">
        <v>7.5</v>
      </c>
      <c r="F53" s="8">
        <f t="shared" ref="F53" si="453">+D53/D$4</f>
        <v>0.74230265863225353</v>
      </c>
      <c r="G53" s="2">
        <f>'[281]Part 2 - 3'!$C$49</f>
        <v>69709.899999999994</v>
      </c>
      <c r="N53" s="6">
        <f t="shared" ref="N53" si="454">+G53/D52</f>
        <v>2.0868956227696983E-3</v>
      </c>
      <c r="O53" s="6">
        <f t="shared" ref="O53" si="455">1-(+N53-1)^12</f>
        <v>2.4757298831204588E-2</v>
      </c>
      <c r="P53" s="27">
        <f t="shared" ref="P53" si="456">AVERAGE(O51:O53)</f>
        <v>3.2970355557316124E-2</v>
      </c>
      <c r="Q53" s="27">
        <f t="shared" ref="Q53" si="457">AVERAGE(O48:O53)</f>
        <v>2.4284540727960657E-2</v>
      </c>
      <c r="R53" s="27">
        <f t="shared" ref="R53" si="458">AVERAGE(O42:O53)</f>
        <v>2.7843426885302391E-2</v>
      </c>
      <c r="S53" s="26">
        <f>'[281]Part 8 - 11'!$C$3</f>
        <v>31466766.270000003</v>
      </c>
      <c r="T53" s="26">
        <f>'[281]Part 8 - 11'!$D$3</f>
        <v>779754.5</v>
      </c>
      <c r="U53" s="26">
        <f>'[282]Part 8 - 11'!$E$3</f>
        <v>551567.49</v>
      </c>
      <c r="V53" s="26">
        <f>'[281]Part 8 - 11'!$F$3</f>
        <v>137131.51</v>
      </c>
      <c r="W53" s="26">
        <f>'[281]Part 8 - 11'!$G$3</f>
        <v>22590.05</v>
      </c>
      <c r="X53" s="26">
        <f>'[281]Part 8 - 11'!$I$3</f>
        <v>31647.14</v>
      </c>
      <c r="Y53" s="26">
        <f>'[282]Part 2 - 3'!$C$18</f>
        <v>0</v>
      </c>
      <c r="Z53" s="26">
        <f t="shared" ref="Z53" si="459">+Z52+Y53</f>
        <v>746668.09</v>
      </c>
      <c r="AA53" s="4">
        <f t="shared" ref="AA53" si="460">+Z53/$D$4</f>
        <v>1.6592616512186416E-2</v>
      </c>
      <c r="AB53" s="2">
        <f>'[281]Part 12 - 13 - Deemed Default'!$V$4</f>
        <v>27547050.129999999</v>
      </c>
      <c r="AC53" s="4">
        <f t="shared" ref="AC53" si="461">+AB53/AB$4</f>
        <v>0.69563257904040399</v>
      </c>
      <c r="AD53" s="2">
        <f t="shared" ref="AD53" si="462">+AB53*$AD$2</f>
        <v>23477599.542613637</v>
      </c>
      <c r="AE53" s="2">
        <f>'[281]Part 12 - 13 - Deemed Default'!$V$5</f>
        <v>3134500.3399999989</v>
      </c>
      <c r="AF53" s="8">
        <f t="shared" ref="AF53" si="463">+AE53/$AE$4</f>
        <v>0.69655563111111085</v>
      </c>
      <c r="AG53" s="2">
        <f>'[281]Part 12 - 13 - Deemed Default'!$V$6</f>
        <v>900000</v>
      </c>
      <c r="AH53" s="8">
        <f t="shared" ref="AH53" si="464">+AG53/$AG$4</f>
        <v>1</v>
      </c>
      <c r="AI53" s="8">
        <f t="shared" ref="AI53" si="465">+AB53/D53</f>
        <v>0.82467222498546766</v>
      </c>
      <c r="AJ53" s="2">
        <f>'[281]Part 5 - 7'!$C$45</f>
        <v>294146.57383750001</v>
      </c>
      <c r="AK53" s="4">
        <f t="shared" ref="AK53" si="466">((+D53+AJ53)-AB53)/D53</f>
        <v>0.18413360026165193</v>
      </c>
      <c r="AL53" s="4">
        <f t="shared" ref="AL53" si="467">+S53/$D53</f>
        <v>0.94201622426054554</v>
      </c>
      <c r="AM53" s="4">
        <f t="shared" ref="AM53" si="468">+T53/$D53</f>
        <v>2.3343402484940802E-2</v>
      </c>
      <c r="AN53" s="4">
        <f t="shared" ref="AN53" si="469">+U53/$D53</f>
        <v>1.651219956624625E-2</v>
      </c>
      <c r="AO53" s="4">
        <f t="shared" ref="AO53" si="470">+V53/$D53</f>
        <v>4.1052870246951895E-3</v>
      </c>
      <c r="AP53" s="4">
        <f t="shared" ref="AP53" si="471">+W53/$D53</f>
        <v>6.7627519854638479E-4</v>
      </c>
      <c r="AQ53" s="4">
        <f t="shared" ref="AQ53" si="472">+X53/$D53</f>
        <v>9.474160476371339E-4</v>
      </c>
      <c r="AR53" s="4">
        <f t="shared" ref="AR53" si="473">+Y53/$D53</f>
        <v>0</v>
      </c>
    </row>
    <row r="54" spans="1:44" x14ac:dyDescent="0.25">
      <c r="A54">
        <f t="shared" si="16"/>
        <v>50</v>
      </c>
      <c r="B54" s="3">
        <f t="shared" si="30"/>
        <v>44190</v>
      </c>
      <c r="C54" s="41">
        <f>'[283]Part 1'!$C$17</f>
        <v>1037</v>
      </c>
      <c r="D54" s="2">
        <f>'[283]Part 1'!$C$21</f>
        <v>33164007.32</v>
      </c>
      <c r="E54" s="44">
        <v>7.5</v>
      </c>
      <c r="F54" s="8">
        <f t="shared" ref="F54" si="474">+D54/D$4</f>
        <v>0.73697759799552065</v>
      </c>
      <c r="G54" s="2">
        <f>'[283]Part 2 - 3'!$C$49</f>
        <v>142495.48000000001</v>
      </c>
      <c r="N54" s="6">
        <f t="shared" ref="N54" si="475">+G54/D53</f>
        <v>4.2658674517746711E-3</v>
      </c>
      <c r="O54" s="6">
        <f t="shared" ref="O54" si="476">1-(+N54-1)^12</f>
        <v>5.0006281660367691E-2</v>
      </c>
      <c r="P54" s="27">
        <f t="shared" ref="P54" si="477">AVERAGE(O52:O54)</f>
        <v>3.3132544732064874E-2</v>
      </c>
      <c r="Q54" s="27">
        <f t="shared" ref="Q54" si="478">AVERAGE(O49:O54)</f>
        <v>3.1223745887476378E-2</v>
      </c>
      <c r="R54" s="27">
        <f t="shared" ref="R54" si="479">AVERAGE(O43:O54)</f>
        <v>3.1559205171073884E-2</v>
      </c>
      <c r="S54" s="26">
        <f>'[283]Part 8 - 11'!$C$3</f>
        <v>31255458.379999999</v>
      </c>
      <c r="T54" s="26">
        <f>'[283]Part 8 - 11'!$D$3</f>
        <v>743697.83</v>
      </c>
      <c r="U54" s="26">
        <f>'[284]Part 8 - 11'!$E$3</f>
        <v>467641.32</v>
      </c>
      <c r="V54" s="26">
        <f>'[283]Part 8 - 11'!$F$3</f>
        <v>240284.9</v>
      </c>
      <c r="W54" s="26">
        <f>'[283]Part 8 - 11'!$G$3</f>
        <v>11142.83</v>
      </c>
      <c r="X54" s="26">
        <f>'[283]Part 8 - 11'!$I$3</f>
        <v>10842.39</v>
      </c>
      <c r="Y54" s="26">
        <f>'[284]Part 2 - 3'!$C$18</f>
        <v>0</v>
      </c>
      <c r="Z54" s="26">
        <f t="shared" ref="Z54" si="480">+Z53+Y54</f>
        <v>746668.09</v>
      </c>
      <c r="AA54" s="4">
        <f t="shared" ref="AA54" si="481">+Z54/$D$4</f>
        <v>1.6592616512186416E-2</v>
      </c>
      <c r="AB54" s="2">
        <f>'[283]Part 12 - 13 - Deemed Default'!$V$4</f>
        <v>27286660.82</v>
      </c>
      <c r="AC54" s="4">
        <f t="shared" ref="AC54" si="482">+AB54/AB$4</f>
        <v>0.6890570914141414</v>
      </c>
      <c r="AD54" s="2">
        <f t="shared" ref="AD54" si="483">+AB54*$AD$2</f>
        <v>23255676.835227273</v>
      </c>
      <c r="AE54" s="2">
        <f>'[283]Part 12 - 13 - Deemed Default'!$V$5</f>
        <v>3121643.3699999987</v>
      </c>
      <c r="AF54" s="8">
        <f t="shared" ref="AF54" si="484">+AE54/$AE$4</f>
        <v>0.69369852666666643</v>
      </c>
      <c r="AG54" s="2">
        <f>'[283]Part 12 - 13 - Deemed Default'!$V$6</f>
        <v>900000</v>
      </c>
      <c r="AH54" s="8">
        <f t="shared" ref="AH54" si="485">+AG54/$AG$4</f>
        <v>1</v>
      </c>
      <c r="AI54" s="8">
        <f t="shared" ref="AI54" si="486">+AB54/D54</f>
        <v>0.82277936308210897</v>
      </c>
      <c r="AJ54" s="2">
        <f>'[283]Part 5 - 7'!$C$45</f>
        <v>292687.40763124998</v>
      </c>
      <c r="AK54" s="4">
        <f t="shared" ref="AK54" si="487">((+D54+AJ54)-AB54)/D54</f>
        <v>0.18604609051302212</v>
      </c>
      <c r="AL54" s="4">
        <f t="shared" ref="AL54" si="488">+S54/$D54</f>
        <v>0.94245119651601861</v>
      </c>
      <c r="AM54" s="4">
        <f t="shared" ref="AM54" si="489">+T54/$D54</f>
        <v>2.2424848204381592E-2</v>
      </c>
      <c r="AN54" s="4">
        <f t="shared" ref="AN54" si="490">+U54/$D54</f>
        <v>1.4100868917550342E-2</v>
      </c>
      <c r="AO54" s="4">
        <f t="shared" ref="AO54" si="491">+V54/$D54</f>
        <v>7.2453517960446518E-3</v>
      </c>
      <c r="AP54" s="4">
        <f t="shared" ref="AP54" si="492">+W54/$D54</f>
        <v>3.359916638686835E-4</v>
      </c>
      <c r="AQ54" s="4">
        <f t="shared" ref="AQ54" si="493">+X54/$D54</f>
        <v>3.2693244502636899E-4</v>
      </c>
      <c r="AR54" s="4">
        <f t="shared" ref="AR54" si="494">+Y54/$D54</f>
        <v>0</v>
      </c>
    </row>
    <row r="55" spans="1:44" x14ac:dyDescent="0.25">
      <c r="A55">
        <f t="shared" si="16"/>
        <v>51</v>
      </c>
      <c r="B55" s="3">
        <f t="shared" si="30"/>
        <v>44221</v>
      </c>
      <c r="C55" s="41">
        <f>'[285]Part 1'!$C$17</f>
        <v>1031</v>
      </c>
      <c r="D55" s="2">
        <f>'[285]Part 1'!$C$21</f>
        <v>32865046.370000001</v>
      </c>
      <c r="E55" s="44">
        <v>7.5</v>
      </c>
      <c r="F55" s="8">
        <f t="shared" ref="F55" si="495">+D55/D$4</f>
        <v>0.73033402441590123</v>
      </c>
      <c r="G55" s="2">
        <f>'[286]Part 2 - 3'!$C$49</f>
        <v>161698.07999999999</v>
      </c>
      <c r="N55" s="6">
        <f t="shared" ref="N55" si="496">+G55/D54</f>
        <v>4.8757099357677981E-3</v>
      </c>
      <c r="O55" s="6">
        <f t="shared" ref="O55" si="497">1-(+N55-1)^12</f>
        <v>5.6964753300884907E-2</v>
      </c>
      <c r="P55" s="27">
        <f t="shared" ref="P55" si="498">AVERAGE(O53:O55)</f>
        <v>4.3909444597485726E-2</v>
      </c>
      <c r="Q55" s="27">
        <f t="shared" ref="Q55" si="499">AVERAGE(O50:O55)</f>
        <v>3.752915488999875E-2</v>
      </c>
      <c r="R55" s="27">
        <f t="shared" ref="R55" si="500">AVERAGE(O44:O55)</f>
        <v>2.9550784819805175E-2</v>
      </c>
      <c r="S55" s="26">
        <f>'[285]Part 8 - 11'!$C$3</f>
        <v>30863066.370000001</v>
      </c>
      <c r="T55" s="26">
        <f>'[285]Part 8 - 11'!$D$3</f>
        <v>908769.16</v>
      </c>
      <c r="U55" s="26">
        <f>'[287]Part 8 - 11'!$E$3</f>
        <v>552562.80000000005</v>
      </c>
      <c r="V55" s="26">
        <f>'[285]Part 8 - 11'!$F$3</f>
        <v>104527.9</v>
      </c>
      <c r="W55" s="26">
        <f>'[285]Part 8 - 11'!$G$3</f>
        <v>18316.25</v>
      </c>
      <c r="X55" s="26">
        <f>'[285]Part 8 - 11'!$I$3</f>
        <v>21985.22</v>
      </c>
      <c r="Y55" s="26">
        <f>'[288]Part 2 - 3'!$C$18</f>
        <v>0</v>
      </c>
      <c r="Z55" s="26">
        <f t="shared" ref="Z55" si="501">+Z54+Y55</f>
        <v>746668.09</v>
      </c>
      <c r="AA55" s="4">
        <f t="shared" ref="AA55" si="502">+Z55/$D$4</f>
        <v>1.6592616512186416E-2</v>
      </c>
      <c r="AB55" s="2">
        <f>'[285]Part 12 - 13 - Deemed Default'!$V$4</f>
        <v>27026820.870000001</v>
      </c>
      <c r="AC55" s="4">
        <f t="shared" ref="AC55" si="503">+AB55/AB$4</f>
        <v>0.68249547651515152</v>
      </c>
      <c r="AD55" s="2">
        <f t="shared" ref="AD55" si="504">+AB55*$AD$2</f>
        <v>23034222.332386363</v>
      </c>
      <c r="AE55" s="2">
        <f>'[285]Part 12 - 13 - Deemed Default'!$V$5</f>
        <v>3042861.9799999986</v>
      </c>
      <c r="AF55" s="8">
        <f t="shared" ref="AF55" si="505">+AE55/$AE$4</f>
        <v>0.67619155111111084</v>
      </c>
      <c r="AG55" s="2">
        <f>'[285]Part 12 - 13 - Deemed Default'!$V$6</f>
        <v>900000</v>
      </c>
      <c r="AH55" s="8">
        <f t="shared" ref="AH55" si="506">+AG55/$AG$4</f>
        <v>1</v>
      </c>
      <c r="AI55" s="8">
        <f t="shared" ref="AI55" si="507">+AB55/D55</f>
        <v>0.82235760648951128</v>
      </c>
      <c r="AJ55" s="2">
        <f>'[285]Part 5 - 7'!$C$45</f>
        <v>289920.7712125</v>
      </c>
      <c r="AK55" s="4">
        <f t="shared" ref="AK55" si="508">((+D55+AJ55)-AB55)/D55</f>
        <v>0.18646394720460269</v>
      </c>
      <c r="AL55" s="4">
        <f t="shared" ref="AL55" si="509">+S55/$D55</f>
        <v>0.93908482655215553</v>
      </c>
      <c r="AM55" s="4">
        <f t="shared" ref="AM55" si="510">+T55/$D55</f>
        <v>2.7651540477653069E-2</v>
      </c>
      <c r="AN55" s="4">
        <f t="shared" ref="AN55" si="511">+U55/$D55</f>
        <v>1.6813084447809955E-2</v>
      </c>
      <c r="AO55" s="4">
        <f t="shared" ref="AO55" si="512">+V55/$D55</f>
        <v>3.1805188656424824E-3</v>
      </c>
      <c r="AP55" s="4">
        <f t="shared" ref="AP55" si="513">+W55/$D55</f>
        <v>5.5731702897335669E-4</v>
      </c>
      <c r="AQ55" s="4">
        <f t="shared" ref="AQ55" si="514">+X55/$D55</f>
        <v>6.6895447985944833E-4</v>
      </c>
      <c r="AR55" s="4">
        <f t="shared" ref="AR55" si="515">+Y55/$D55</f>
        <v>0</v>
      </c>
    </row>
    <row r="56" spans="1:44" x14ac:dyDescent="0.25">
      <c r="A56">
        <f t="shared" si="16"/>
        <v>52</v>
      </c>
      <c r="B56" s="3">
        <f t="shared" si="30"/>
        <v>44252</v>
      </c>
      <c r="C56" s="41">
        <f>'[289]Part 1'!$C$17</f>
        <v>1025</v>
      </c>
      <c r="D56" s="2">
        <f>'[289]Part 1'!$C$21</f>
        <v>32680242.059999999</v>
      </c>
      <c r="E56" s="44">
        <v>7.5</v>
      </c>
      <c r="F56" s="8">
        <f t="shared" ref="F56" si="516">+D56/D$4</f>
        <v>0.72622726387973147</v>
      </c>
      <c r="G56" s="2">
        <f>'[290]Part 2 - 3'!$C$49</f>
        <v>142290.39000000001</v>
      </c>
      <c r="N56" s="6">
        <f t="shared" ref="N56" si="517">+G56/D55</f>
        <v>4.3295356531091369E-3</v>
      </c>
      <c r="O56" s="6">
        <f t="shared" ref="O56" si="518">1-(+N56-1)^12</f>
        <v>5.0734947552380061E-2</v>
      </c>
      <c r="P56" s="27">
        <f t="shared" ref="P56" si="519">AVERAGE(O54:O56)</f>
        <v>5.2568660837877555E-2</v>
      </c>
      <c r="Q56" s="27">
        <f t="shared" ref="Q56" si="520">AVERAGE(O51:O56)</f>
        <v>4.2769508197596839E-2</v>
      </c>
      <c r="R56" s="27">
        <f t="shared" ref="R56" si="521">AVERAGE(O45:O56)</f>
        <v>2.7851596866181272E-2</v>
      </c>
      <c r="S56" s="26">
        <f>'[289]Part 8 - 11'!$C$3</f>
        <v>30749486.200000003</v>
      </c>
      <c r="T56" s="26">
        <f>'[289]Part 8 - 11'!$D$3</f>
        <v>718603.22</v>
      </c>
      <c r="U56" s="26">
        <f>'[291]Part 8 - 11'!$E$3</f>
        <v>518978.01</v>
      </c>
      <c r="V56" s="26">
        <f>'[289]Part 8 - 11'!$F$3</f>
        <v>140365.79999999999</v>
      </c>
      <c r="W56" s="26">
        <f>'[289]Part 8 - 11'!$G$3</f>
        <v>135092.96</v>
      </c>
      <c r="X56" s="26">
        <f>'[289]Part 8 - 11'!$I$3</f>
        <v>10842.39</v>
      </c>
      <c r="Y56" s="26">
        <f>'[292]Part 2 - 3'!$C$18</f>
        <v>11142.83</v>
      </c>
      <c r="Z56" s="26">
        <f>+Z55+Y56-10453.65</f>
        <v>747357.2699999999</v>
      </c>
      <c r="AA56" s="4">
        <f t="shared" ref="AA56" si="522">+Z56/$D$4</f>
        <v>1.6607931616181109E-2</v>
      </c>
      <c r="AB56" s="2">
        <f>'[289]Part 12 - 13 - Deemed Default'!$V$4</f>
        <v>26830961.75</v>
      </c>
      <c r="AC56" s="4">
        <f t="shared" ref="AC56" si="523">+AB56/AB$4</f>
        <v>0.67754953914141414</v>
      </c>
      <c r="AD56" s="2">
        <f t="shared" ref="AD56" si="524">+AB56*$AD$2</f>
        <v>22867296.946022727</v>
      </c>
      <c r="AE56" s="2">
        <f>'[289]Part 12 - 13 - Deemed Default'!$V$5</f>
        <v>3023177.7799999984</v>
      </c>
      <c r="AF56" s="8">
        <f t="shared" ref="AF56" si="525">+AE56/$AE$4</f>
        <v>0.67181728444444411</v>
      </c>
      <c r="AG56" s="2">
        <f>'[289]Part 12 - 13 - Deemed Default'!$V$6</f>
        <v>900000</v>
      </c>
      <c r="AH56" s="8">
        <f t="shared" ref="AH56" si="526">+AG56/$AG$4</f>
        <v>1</v>
      </c>
      <c r="AI56" s="8">
        <f t="shared" ref="AI56" si="527">+AB56/D56</f>
        <v>0.82101478014572582</v>
      </c>
      <c r="AJ56" s="2">
        <f>'[289]Part 5 - 7'!$C$45</f>
        <v>287159.97174375004</v>
      </c>
      <c r="AK56" s="4">
        <f t="shared" ref="AK56" si="528">((+D56+AJ56)-AB56)/D56</f>
        <v>0.18777217960862772</v>
      </c>
      <c r="AL56" s="4">
        <f t="shared" ref="AL56" si="529">+S56/$D56</f>
        <v>0.94091978093506212</v>
      </c>
      <c r="AM56" s="4">
        <f t="shared" ref="AM56" si="530">+T56/$D56</f>
        <v>2.1988919747921842E-2</v>
      </c>
      <c r="AN56" s="4">
        <f t="shared" ref="AN56" si="531">+U56/$D56</f>
        <v>1.5880482434835429E-2</v>
      </c>
      <c r="AO56" s="4">
        <f t="shared" ref="AO56" si="532">+V56/$D56</f>
        <v>4.2951273048189896E-3</v>
      </c>
      <c r="AP56" s="4">
        <f t="shared" ref="AP56" si="533">+W56/$D56</f>
        <v>4.1337808866890625E-3</v>
      </c>
      <c r="AQ56" s="4">
        <f t="shared" ref="AQ56" si="534">+X56/$D56</f>
        <v>3.3177202237650747E-4</v>
      </c>
      <c r="AR56" s="4">
        <f t="shared" ref="AR56" si="535">+Y56/$D56</f>
        <v>3.4096534473465894E-4</v>
      </c>
    </row>
    <row r="57" spans="1:44" x14ac:dyDescent="0.25">
      <c r="A57">
        <f t="shared" si="16"/>
        <v>53</v>
      </c>
      <c r="B57" s="3">
        <f t="shared" si="30"/>
        <v>44283</v>
      </c>
      <c r="C57" s="41">
        <f>'[293]Part 1'!$C$17</f>
        <v>1015</v>
      </c>
      <c r="D57" s="2">
        <f>'[293]Part 1'!$C$21</f>
        <v>32374179.219999999</v>
      </c>
      <c r="E57" s="44">
        <v>7.5</v>
      </c>
      <c r="F57" s="8">
        <f t="shared" ref="F57" si="536">+D57/D$4</f>
        <v>0.71942587059566776</v>
      </c>
      <c r="G57" s="2">
        <f>'[294]Part 2 - 3'!$C$49</f>
        <v>140874.43</v>
      </c>
      <c r="N57" s="6">
        <f t="shared" ref="N57" si="537">+G57/D56</f>
        <v>4.3106911430263748E-3</v>
      </c>
      <c r="O57" s="6">
        <f t="shared" ref="O57" si="538">1-(+N57-1)^12</f>
        <v>5.0519330465616963E-2</v>
      </c>
      <c r="P57" s="27">
        <f t="shared" ref="P57" si="539">AVERAGE(O55:O57)</f>
        <v>5.2739677106293979E-2</v>
      </c>
      <c r="Q57" s="27">
        <f t="shared" ref="Q57" si="540">AVERAGE(O52:O57)</f>
        <v>4.2936110919179427E-2</v>
      </c>
      <c r="R57" s="27">
        <f t="shared" ref="R57" si="541">AVERAGE(O46:O57)</f>
        <v>2.9963545791545882E-2</v>
      </c>
      <c r="S57" s="26">
        <f>'[293]Part 8 - 11'!$C$3</f>
        <v>30376019.16</v>
      </c>
      <c r="T57" s="26">
        <f>'[293]Part 8 - 11'!$D$3</f>
        <v>840111.51</v>
      </c>
      <c r="U57" s="26">
        <f>'[295]Part 8 - 11'!$E$3</f>
        <v>513006.23</v>
      </c>
      <c r="V57" s="26">
        <f>'[293]Part 8 - 11'!$F$3</f>
        <v>136394.03</v>
      </c>
      <c r="W57" s="26">
        <f>'[293]Part 8 - 11'!$G$3</f>
        <v>73465.490000000005</v>
      </c>
      <c r="X57" s="26">
        <f>'[293]Part 8 - 11'!$I$3</f>
        <v>39499.89</v>
      </c>
      <c r="Y57" s="26">
        <f>'[296]Part 2 - 3'!$C$18</f>
        <v>0</v>
      </c>
      <c r="Z57" s="26">
        <f t="shared" ref="Z57" si="542">+Z56+Y57</f>
        <v>747357.2699999999</v>
      </c>
      <c r="AA57" s="4">
        <f t="shared" ref="AA57" si="543">+Z57/$D$4</f>
        <v>1.6607931616181109E-2</v>
      </c>
      <c r="AB57" s="2">
        <f>'[293]Part 12 - 13 - Deemed Default'!$V$4</f>
        <v>26536089.48</v>
      </c>
      <c r="AC57" s="4">
        <f t="shared" ref="AC57" si="544">+AB57/AB$4</f>
        <v>0.67010326969696976</v>
      </c>
      <c r="AD57" s="2">
        <f t="shared" ref="AD57" si="545">+AB57*$AD$2</f>
        <v>22615985.352272727</v>
      </c>
      <c r="AE57" s="2">
        <f>'[293]Part 12 - 13 - Deemed Default'!$V$5</f>
        <v>2990459.7499999986</v>
      </c>
      <c r="AF57" s="8">
        <f t="shared" ref="AF57" si="546">+AE57/$AE$4</f>
        <v>0.6645466111111108</v>
      </c>
      <c r="AG57" s="2">
        <f>'[293]Part 12 - 13 - Deemed Default'!$V$6</f>
        <v>900000</v>
      </c>
      <c r="AH57" s="8">
        <f t="shared" ref="AH57" si="547">+AG57/$AG$4</f>
        <v>1</v>
      </c>
      <c r="AI57" s="8">
        <f t="shared" ref="AI57" si="548">+AB57/D57</f>
        <v>0.81966833196520494</v>
      </c>
      <c r="AJ57" s="2">
        <f>'[293]Part 5 - 7'!$C$45</f>
        <v>285078.96859375003</v>
      </c>
      <c r="AK57" s="4">
        <f t="shared" ref="AK57" si="549">((+D57+AJ57)-AB57)/D57</f>
        <v>0.18913741926809993</v>
      </c>
      <c r="AL57" s="4">
        <f t="shared" ref="AL57" si="550">+S57/$D57</f>
        <v>0.93827920558475242</v>
      </c>
      <c r="AM57" s="4">
        <f t="shared" ref="AM57" si="551">+T57/$D57</f>
        <v>2.5950048163105217E-2</v>
      </c>
      <c r="AN57" s="4">
        <f t="shared" ref="AN57" si="552">+U57/$D57</f>
        <v>1.5846154014093953E-2</v>
      </c>
      <c r="AO57" s="4">
        <f t="shared" ref="AO57" si="553">+V57/$D57</f>
        <v>4.2130498219932946E-3</v>
      </c>
      <c r="AP57" s="4">
        <f t="shared" ref="AP57" si="554">+W57/$D57</f>
        <v>2.2692618552817168E-3</v>
      </c>
      <c r="AQ57" s="4">
        <f t="shared" ref="AQ57" si="555">+X57/$D57</f>
        <v>1.2201047548287464E-3</v>
      </c>
      <c r="AR57" s="4">
        <f t="shared" ref="AR57" si="556">+Y57/$D57</f>
        <v>0</v>
      </c>
    </row>
    <row r="58" spans="1:44" x14ac:dyDescent="0.25">
      <c r="A58">
        <f t="shared" si="16"/>
        <v>54</v>
      </c>
      <c r="B58" s="3">
        <f t="shared" si="30"/>
        <v>44314</v>
      </c>
      <c r="C58" s="41">
        <f>'[297]Part 1'!$C$17</f>
        <v>1009</v>
      </c>
      <c r="D58" s="2">
        <f>'[297]Part 1'!$C$21</f>
        <v>32175633.02</v>
      </c>
      <c r="E58" s="44">
        <v>7.49</v>
      </c>
      <c r="F58" s="8">
        <f t="shared" ref="F58" si="557">+D58/D$4</f>
        <v>0.7150137348680623</v>
      </c>
      <c r="G58" s="2">
        <f>'[297]Part 2 - 3'!$C$49</f>
        <v>94777.59</v>
      </c>
      <c r="N58" s="6">
        <f t="shared" ref="N58" si="558">+G58/D57</f>
        <v>2.9275673479143729E-3</v>
      </c>
      <c r="O58" s="6">
        <f t="shared" ref="O58" si="559">1-(+N58-1)^12</f>
        <v>3.4570629100401096E-2</v>
      </c>
      <c r="P58" s="27">
        <f t="shared" ref="P58" si="560">AVERAGE(O56:O58)</f>
        <v>4.527496903946604E-2</v>
      </c>
      <c r="Q58" s="27">
        <f t="shared" ref="Q58" si="561">AVERAGE(O53:O58)</f>
        <v>4.4592206818475887E-2</v>
      </c>
      <c r="R58" s="27">
        <f t="shared" ref="R58" si="562">AVERAGE(O47:O58)</f>
        <v>3.2378537780246103E-2</v>
      </c>
      <c r="S58" s="26">
        <f>'[297]Part 8 - 11'!$C$3</f>
        <v>44320</v>
      </c>
      <c r="T58" s="26">
        <f>'[297]Part 8 - 11'!$D$3</f>
        <v>912479.38</v>
      </c>
      <c r="U58" s="26">
        <f>'[298]Part 8 - 11'!$E$3</f>
        <v>389097.54</v>
      </c>
      <c r="V58" s="26">
        <f>'[297]Part 8 - 11'!$F$3</f>
        <v>25967.82</v>
      </c>
      <c r="W58" s="26">
        <f>'[297]Part 8 - 11'!$G$3</f>
        <v>110628.5</v>
      </c>
      <c r="X58" s="26">
        <f>'[297]Part 8 - 11'!$I$3</f>
        <v>0</v>
      </c>
      <c r="Y58" s="26">
        <f>'[298]Part 2 - 3'!$C$18</f>
        <v>10341.25</v>
      </c>
      <c r="Z58" s="26">
        <f>+Z57+Y58</f>
        <v>757698.5199999999</v>
      </c>
      <c r="AA58" s="4">
        <f t="shared" ref="AA58" si="563">+Z58/$D$4</f>
        <v>1.6837737064953732E-2</v>
      </c>
      <c r="AB58" s="2">
        <f>'[297]Part 12 - 13 - Deemed Default'!$V$4</f>
        <v>26118402.360000003</v>
      </c>
      <c r="AC58" s="4">
        <f t="shared" ref="AC58" si="564">+AB58/AB$4</f>
        <v>0.65955561515151528</v>
      </c>
      <c r="AD58" s="2">
        <f t="shared" ref="AD58" si="565">+AB58*$AD$2</f>
        <v>22260002.01136364</v>
      </c>
      <c r="AE58" s="2">
        <f>'[297]Part 12 - 13 - Deemed Default'!$V$5</f>
        <v>2910553.2499999986</v>
      </c>
      <c r="AF58" s="8">
        <f t="shared" ref="AF58" si="566">+AE58/$AE$4</f>
        <v>0.64678961111111077</v>
      </c>
      <c r="AG58" s="2">
        <f>'[297]Part 12 - 13 - Deemed Default'!$V$6</f>
        <v>900000</v>
      </c>
      <c r="AH58" s="8">
        <f t="shared" ref="AH58" si="567">+AG58/$AG$4</f>
        <v>1</v>
      </c>
      <c r="AI58" s="8">
        <f t="shared" ref="AI58" si="568">+AB58/D58</f>
        <v>0.81174478661430238</v>
      </c>
      <c r="AJ58" s="2">
        <f>'[297]Part 5 - 7'!$C$45</f>
        <v>279726.98790000007</v>
      </c>
      <c r="AK58" s="4">
        <f t="shared" ref="AK58" si="569">((+D58+AJ58)-AB58)/D58</f>
        <v>0.19694896582022231</v>
      </c>
      <c r="AL58" s="4">
        <f t="shared" ref="AL58" si="570">+S58/$D58</f>
        <v>1.3774398773273926E-3</v>
      </c>
      <c r="AM58" s="4">
        <f t="shared" ref="AM58" si="571">+T58/$D58</f>
        <v>2.8359329540861355E-2</v>
      </c>
      <c r="AN58" s="4">
        <f t="shared" ref="AN58" si="572">+U58/$D58</f>
        <v>1.2092925716741657E-2</v>
      </c>
      <c r="AO58" s="4">
        <f t="shared" ref="AO58" si="573">+V58/$D58</f>
        <v>8.0706477426127729E-4</v>
      </c>
      <c r="AP58" s="4">
        <f t="shared" ref="AP58" si="574">+W58/$D58</f>
        <v>3.4382695728545454E-3</v>
      </c>
      <c r="AQ58" s="4">
        <f t="shared" ref="AQ58" si="575">+X58/$D58</f>
        <v>0</v>
      </c>
      <c r="AR58" s="4">
        <f t="shared" ref="AR58" si="576">+Y58/$D58</f>
        <v>3.214000480914237E-4</v>
      </c>
    </row>
    <row r="59" spans="1:44" x14ac:dyDescent="0.25">
      <c r="A59">
        <f t="shared" si="16"/>
        <v>55</v>
      </c>
      <c r="B59" s="3">
        <f t="shared" si="30"/>
        <v>44345</v>
      </c>
      <c r="C59" s="41">
        <f>'[299]Part 1'!$C$17</f>
        <v>1002</v>
      </c>
      <c r="D59" s="2">
        <f>'[299]Part 1'!$C$21</f>
        <v>31859839.640000001</v>
      </c>
      <c r="E59" s="44">
        <v>7.49</v>
      </c>
      <c r="F59" s="8">
        <f t="shared" ref="F59" si="577">+D59/D$4</f>
        <v>0.70799610746225328</v>
      </c>
      <c r="G59" s="2">
        <f>'[299]Part 2 - 3'!$C$49</f>
        <v>161874.23999999999</v>
      </c>
      <c r="N59" s="6">
        <f t="shared" ref="N59" si="578">+G59/D58</f>
        <v>5.0309574297848578E-3</v>
      </c>
      <c r="O59" s="6">
        <f t="shared" ref="O59" si="579">1-(+N59-1)^12</f>
        <v>5.8728693397792964E-2</v>
      </c>
      <c r="P59" s="27">
        <f t="shared" ref="P59" si="580">AVERAGE(O57:O59)</f>
        <v>4.7939550987937007E-2</v>
      </c>
      <c r="Q59" s="27">
        <f t="shared" ref="Q59" si="581">AVERAGE(O54:O59)</f>
        <v>5.0254105912907278E-2</v>
      </c>
      <c r="R59" s="27">
        <f t="shared" ref="R59" si="582">AVERAGE(O48:O59)</f>
        <v>3.7269323320433971E-2</v>
      </c>
      <c r="S59" s="26">
        <f>'[299]Part 8 - 11'!$C$3</f>
        <v>30290178.400000002</v>
      </c>
      <c r="T59" s="26">
        <f>'[299]Part 8 - 11'!$D$3</f>
        <v>544195.68999999994</v>
      </c>
      <c r="U59" s="26">
        <f>'[300]Part 8 - 11'!$E$3</f>
        <v>453192</v>
      </c>
      <c r="V59" s="26">
        <f>'[299]Part 8 - 11'!$F$3</f>
        <v>111599.25</v>
      </c>
      <c r="W59" s="26">
        <f>'[299]Part 8 - 11'!$G$3</f>
        <v>39483</v>
      </c>
      <c r="X59" s="26">
        <f>'[299]Part 8 - 11'!$I$3</f>
        <v>54620.24</v>
      </c>
      <c r="Y59" s="26">
        <f>'[300]Part 2 - 3'!$C$18</f>
        <v>0</v>
      </c>
      <c r="Z59" s="26">
        <f t="shared" ref="Z59" si="583">+Z58+Y59</f>
        <v>757698.5199999999</v>
      </c>
      <c r="AA59" s="4">
        <f t="shared" ref="AA59" si="584">+Z59/$D$4</f>
        <v>1.6837737064953732E-2</v>
      </c>
      <c r="AB59" s="2">
        <f>'[299]Part 12 - 13 - Deemed Default'!$V$4</f>
        <v>25939343.030000001</v>
      </c>
      <c r="AC59" s="4">
        <f t="shared" ref="AC59" si="585">+AB59/AB$4</f>
        <v>0.65503391489898988</v>
      </c>
      <c r="AD59" s="2">
        <f t="shared" ref="AD59" si="586">+AB59*$AD$2</f>
        <v>22107394.62784091</v>
      </c>
      <c r="AE59" s="2">
        <f>'[299]Part 12 - 13 - Deemed Default'!$V$5</f>
        <v>2778898.2499999986</v>
      </c>
      <c r="AF59" s="8">
        <f t="shared" ref="AF59" si="587">+AE59/$AE$4</f>
        <v>0.61753294444444418</v>
      </c>
      <c r="AG59" s="2">
        <f>'[299]Part 12 - 13 - Deemed Default'!$V$6</f>
        <v>900000</v>
      </c>
      <c r="AH59" s="8">
        <f t="shared" ref="AH59" si="588">+AG59/$AG$4</f>
        <v>1</v>
      </c>
      <c r="AI59" s="8">
        <f t="shared" ref="AI59" si="589">+AB59/D59</f>
        <v>0.81417054583768778</v>
      </c>
      <c r="AJ59" s="2">
        <f>'[299]Part 5 - 7'!$C$45</f>
        <v>276790.40609375003</v>
      </c>
      <c r="AK59" s="4">
        <f t="shared" ref="AK59" si="590">((+D59+AJ59)-AB59)/D59</f>
        <v>0.19451720680706319</v>
      </c>
      <c r="AL59" s="4">
        <f t="shared" ref="AL59" si="591">+S59/$D59</f>
        <v>0.95073229313969021</v>
      </c>
      <c r="AM59" s="4">
        <f t="shared" ref="AM59" si="592">+T59/$D59</f>
        <v>1.7080929977963941E-2</v>
      </c>
      <c r="AN59" s="4">
        <f t="shared" ref="AN59" si="593">+U59/$D59</f>
        <v>1.4224553705255247E-2</v>
      </c>
      <c r="AO59" s="4">
        <f t="shared" ref="AO59" si="594">+V59/$D59</f>
        <v>3.5028189489029081E-3</v>
      </c>
      <c r="AP59" s="4">
        <f t="shared" ref="AP59" si="595">+W59/$D59</f>
        <v>1.2392717743132998E-3</v>
      </c>
      <c r="AQ59" s="4">
        <f t="shared" ref="AQ59" si="596">+X59/$D59</f>
        <v>1.7143915542947158E-3</v>
      </c>
      <c r="AR59" s="4">
        <f t="shared" ref="AR59" si="597">+Y59/$D59</f>
        <v>0</v>
      </c>
    </row>
    <row r="60" spans="1:44" x14ac:dyDescent="0.25">
      <c r="A60">
        <f t="shared" si="16"/>
        <v>56</v>
      </c>
      <c r="B60" s="3">
        <f t="shared" si="30"/>
        <v>44376</v>
      </c>
      <c r="C60" s="41">
        <f>'[301]Part 1'!$C$17</f>
        <v>998</v>
      </c>
      <c r="D60" s="2">
        <f>'[301]Part 1'!$C$21</f>
        <v>31693658.510000002</v>
      </c>
      <c r="E60" s="44">
        <v>7.49</v>
      </c>
      <c r="F60" s="8">
        <f t="shared" ref="F60" si="598">+D60/D$4</f>
        <v>0.70430319517822648</v>
      </c>
      <c r="G60" s="2">
        <f>'[301]Part 2 - 3'!$C$49</f>
        <v>55848.23</v>
      </c>
      <c r="N60" s="6">
        <f t="shared" ref="N60" si="599">+G60/D59</f>
        <v>1.7529350627955641E-3</v>
      </c>
      <c r="O60" s="6">
        <f t="shared" ref="O60" si="600">1-(+N60-1)^12</f>
        <v>2.0833597529728465E-2</v>
      </c>
      <c r="P60" s="27">
        <f t="shared" ref="P60" si="601">AVERAGE(O58:O60)</f>
        <v>3.8044306675974172E-2</v>
      </c>
      <c r="Q60" s="27">
        <f t="shared" ref="Q60" si="602">AVERAGE(O55:O60)</f>
        <v>4.5391991891134076E-2</v>
      </c>
      <c r="R60" s="27">
        <f t="shared" ref="R60" si="603">AVERAGE(O49:O60)</f>
        <v>3.8307868889305229E-2</v>
      </c>
      <c r="S60" s="26">
        <f>'[301]Part 8 - 11'!$C$3</f>
        <v>30437462.800000001</v>
      </c>
      <c r="T60" s="26">
        <f>'[301]Part 8 - 11'!$D$3</f>
        <v>253927.4</v>
      </c>
      <c r="U60" s="26">
        <f>'[302]Part 8 - 11'!$E$3</f>
        <v>320702.8</v>
      </c>
      <c r="V60" s="26">
        <f>'[301]Part 8 - 11'!$F$3</f>
        <v>270207.84999999998</v>
      </c>
      <c r="W60" s="26">
        <f>'[301]Part 8 - 11'!$G$3</f>
        <v>26136.47</v>
      </c>
      <c r="X60" s="26">
        <f>'[301]Part 8 - 11'!$I$3</f>
        <v>73312.539999999994</v>
      </c>
      <c r="Y60" s="26">
        <f>'[302]Part 2 - 3'!$C$18</f>
        <v>0</v>
      </c>
      <c r="Z60" s="26">
        <f t="shared" ref="Z60" si="604">+Z59+Y60</f>
        <v>757698.5199999999</v>
      </c>
      <c r="AA60" s="4">
        <f t="shared" ref="AA60" si="605">+Z60/$D$4</f>
        <v>1.6837737064953732E-2</v>
      </c>
      <c r="AB60" s="2">
        <f>'[301]Part 12 - 13 - Deemed Default'!$V$4</f>
        <v>25765883.760000002</v>
      </c>
      <c r="AC60" s="4">
        <f t="shared" ref="AC60" si="606">+AB60/AB$4</f>
        <v>0.65065363030303036</v>
      </c>
      <c r="AD60" s="2">
        <f t="shared" ref="AD60" si="607">+AB60*$AD$2</f>
        <v>21959560.022727273</v>
      </c>
      <c r="AE60" s="2">
        <f>'[301]Part 12 - 13 - Deemed Default'!$V$5</f>
        <v>2778697.8399999985</v>
      </c>
      <c r="AF60" s="8">
        <f t="shared" ref="AF60" si="608">+AE60/$AE$4</f>
        <v>0.61748840888888856</v>
      </c>
      <c r="AG60" s="2">
        <f>'[301]Part 12 - 13 - Deemed Default'!$V$6</f>
        <v>900000</v>
      </c>
      <c r="AH60" s="8">
        <f t="shared" ref="AH60" si="609">+AG60/$AG$4</f>
        <v>1</v>
      </c>
      <c r="AI60" s="8">
        <f t="shared" ref="AI60" si="610">+AB60/D60</f>
        <v>0.81296653562006216</v>
      </c>
      <c r="AJ60" s="2">
        <f>'[301]Part 5 - 7'!$C$45</f>
        <v>275605.51969375001</v>
      </c>
      <c r="AK60" s="4">
        <f t="shared" ref="AK60" si="611">((+D60+AJ60)-AB60)/D60</f>
        <v>0.19572938440465801</v>
      </c>
      <c r="AL60" s="4">
        <f t="shared" ref="AL60" si="612">+S60/$D60</f>
        <v>0.96036444610508931</v>
      </c>
      <c r="AM60" s="4">
        <f t="shared" ref="AM60" si="613">+T60/$D60</f>
        <v>8.0119308384634953E-3</v>
      </c>
      <c r="AN60" s="4">
        <f t="shared" ref="AN60" si="614">+U60/$D60</f>
        <v>1.0118831812957524E-2</v>
      </c>
      <c r="AO60" s="4">
        <f t="shared" ref="AO60" si="615">+V60/$D60</f>
        <v>8.5256124632864284E-3</v>
      </c>
      <c r="AP60" s="4">
        <f t="shared" ref="AP60" si="616">+W60/$D60</f>
        <v>8.24659292386627E-4</v>
      </c>
      <c r="AQ60" s="4">
        <f t="shared" ref="AQ60" si="617">+X60/$D60</f>
        <v>2.3131611636715396E-3</v>
      </c>
      <c r="AR60" s="4">
        <f t="shared" ref="AR60" si="618">+Y60/$D60</f>
        <v>0</v>
      </c>
    </row>
    <row r="61" spans="1:44" x14ac:dyDescent="0.25">
      <c r="A61">
        <f t="shared" si="16"/>
        <v>57</v>
      </c>
      <c r="B61" s="3">
        <f t="shared" si="30"/>
        <v>44407</v>
      </c>
      <c r="C61" s="41">
        <f>'[303]Part 1'!$C$17</f>
        <v>996</v>
      </c>
      <c r="D61" s="2">
        <f>'[303]Part 1'!$C$21</f>
        <v>31559602.780000001</v>
      </c>
      <c r="E61" s="44">
        <v>7.49</v>
      </c>
      <c r="F61" s="8">
        <f t="shared" ref="F61" si="619">+D61/D$4</f>
        <v>0.70132418034025312</v>
      </c>
      <c r="G61" s="2">
        <f>'[303]Part 2 - 3'!$C$49</f>
        <v>52705.32</v>
      </c>
      <c r="N61" s="6">
        <f t="shared" ref="N61" si="620">+G61/D60</f>
        <v>1.662961061543917E-3</v>
      </c>
      <c r="O61" s="6">
        <f t="shared" ref="O61" si="621">1-(+N61-1)^12</f>
        <v>1.977402169650766E-2</v>
      </c>
      <c r="P61" s="27">
        <f t="shared" ref="P61" si="622">AVERAGE(O59:O61)</f>
        <v>3.3112104208009696E-2</v>
      </c>
      <c r="Q61" s="27">
        <f t="shared" ref="Q61" si="623">AVERAGE(O56:O61)</f>
        <v>3.9193536623737868E-2</v>
      </c>
      <c r="R61" s="27">
        <f t="shared" ref="R61" si="624">AVERAGE(O50:O61)</f>
        <v>3.8361345756868309E-2</v>
      </c>
      <c r="S61" s="26">
        <f>'[303]Part 8 - 11'!$C$3</f>
        <v>30239982.699999999</v>
      </c>
      <c r="T61" s="26">
        <f>'[303]Part 8 - 11'!$D$3</f>
        <v>409664.56</v>
      </c>
      <c r="U61" s="26">
        <f>'[304]Part 8 - 11'!$E$3</f>
        <v>306425.51</v>
      </c>
      <c r="V61" s="26">
        <f>'[303]Part 8 - 11'!$F$3</f>
        <v>229702.59</v>
      </c>
      <c r="W61" s="26">
        <f>'[303]Part 8 - 11'!$G$3</f>
        <v>22515.23</v>
      </c>
      <c r="X61" s="26">
        <f>'[303]Part 8 - 11'!$I$3</f>
        <v>0</v>
      </c>
      <c r="Y61" s="26">
        <f>'[304]Part 2 - 3'!$C$18</f>
        <v>39483</v>
      </c>
      <c r="Z61" s="26">
        <f t="shared" ref="Z61" si="625">+Z60+Y61</f>
        <v>797181.5199999999</v>
      </c>
      <c r="AA61" s="4">
        <f t="shared" ref="AA61" si="626">+Z61/$D$4</f>
        <v>1.7715136657255388E-2</v>
      </c>
      <c r="AB61" s="2">
        <f>'[303]Part 12 - 13 - Deemed Default'!$V$4</f>
        <v>25446348.330000002</v>
      </c>
      <c r="AC61" s="4">
        <f t="shared" ref="AC61" si="627">+AB61/AB$4</f>
        <v>0.64258455378787882</v>
      </c>
      <c r="AD61" s="2">
        <f t="shared" ref="AD61" si="628">+AB61*$AD$2</f>
        <v>21687228.69034091</v>
      </c>
      <c r="AE61" s="2">
        <f>'[303]Part 12 - 13 - Deemed Default'!$V$5</f>
        <v>2744005.4399999985</v>
      </c>
      <c r="AF61" s="8">
        <f t="shared" ref="AF61" si="629">+AE61/$AE$4</f>
        <v>0.6097789866666663</v>
      </c>
      <c r="AG61" s="2">
        <f>'[303]Part 12 - 13 - Deemed Default'!$V$6</f>
        <v>900000</v>
      </c>
      <c r="AH61" s="8">
        <f t="shared" ref="AH61" si="630">+AG61/$AG$4</f>
        <v>1</v>
      </c>
      <c r="AI61" s="8">
        <f t="shared" ref="AI61" si="631">+AB61/D61</f>
        <v>0.80629494950823333</v>
      </c>
      <c r="AJ61" s="2">
        <f>'[303]Part 5 - 7'!$C$45</f>
        <v>273762.51495000004</v>
      </c>
      <c r="AK61" s="4">
        <f t="shared" ref="AK61" si="632">((+D61+AJ61)-AB61)/D61</f>
        <v>0.20237951058742695</v>
      </c>
      <c r="AL61" s="4">
        <f t="shared" ref="AL61" si="633">+S61/$D61</f>
        <v>0.95818641669228255</v>
      </c>
      <c r="AM61" s="4">
        <f t="shared" ref="AM61" si="634">+T61/$D61</f>
        <v>1.2980662743309723E-2</v>
      </c>
      <c r="AN61" s="4">
        <f t="shared" ref="AN61" si="635">+U61/$D61</f>
        <v>9.7094222679566938E-3</v>
      </c>
      <c r="AO61" s="4">
        <f t="shared" ref="AO61" si="636">+V61/$D61</f>
        <v>7.2783739263526936E-3</v>
      </c>
      <c r="AP61" s="4">
        <f t="shared" ref="AP61" si="637">+W61/$D61</f>
        <v>7.1341930875848619E-4</v>
      </c>
      <c r="AQ61" s="4">
        <f t="shared" ref="AQ61" si="638">+X61/$D61</f>
        <v>0</v>
      </c>
      <c r="AR61" s="4">
        <f t="shared" ref="AR61" si="639">+Y61/$D61</f>
        <v>1.2510613734663741E-3</v>
      </c>
    </row>
    <row r="62" spans="1:44" x14ac:dyDescent="0.25">
      <c r="A62">
        <f t="shared" si="16"/>
        <v>58</v>
      </c>
      <c r="B62" s="3">
        <f t="shared" si="30"/>
        <v>44438</v>
      </c>
      <c r="C62" s="41">
        <f>'[305]Part 1'!$C$17</f>
        <v>991</v>
      </c>
      <c r="D62" s="2">
        <f>'[305]Part 1'!$C$21</f>
        <v>31239984.559999999</v>
      </c>
      <c r="E62" s="44">
        <v>7.49</v>
      </c>
      <c r="F62" s="8">
        <f t="shared" ref="F62" si="640">+D62/D$4</f>
        <v>0.69422155652949458</v>
      </c>
      <c r="G62" s="2">
        <f>'[305]Part 2 - 3'!$C$49</f>
        <v>79392.240000000005</v>
      </c>
      <c r="N62" s="6">
        <f t="shared" ref="N62" si="641">+G62/D61</f>
        <v>2.5156286203422236E-3</v>
      </c>
      <c r="O62" s="6">
        <f t="shared" ref="O62" si="642">1-(+N62-1)^12</f>
        <v>2.977335250612001E-2</v>
      </c>
      <c r="P62" s="27">
        <f t="shared" ref="P62" si="643">AVERAGE(O60:O62)</f>
        <v>2.3460323910785379E-2</v>
      </c>
      <c r="Q62" s="27">
        <f t="shared" ref="Q62" si="644">AVERAGE(O57:O62)</f>
        <v>3.5699937449361195E-2</v>
      </c>
      <c r="R62" s="27">
        <f t="shared" ref="R62" si="645">AVERAGE(O51:O62)</f>
        <v>3.9234722823479014E-2</v>
      </c>
      <c r="S62" s="26">
        <f>'[305]Part 8 - 11'!$C$3</f>
        <v>29842744.420000002</v>
      </c>
      <c r="T62" s="26">
        <f>'[305]Part 8 - 11'!$D$3</f>
        <v>468547.24</v>
      </c>
      <c r="U62" s="26">
        <f>'[306]Part 8 - 11'!$E$3</f>
        <v>419410.27</v>
      </c>
      <c r="V62" s="26">
        <f>'[305]Part 8 - 11'!$F$3</f>
        <v>158053.23000000001</v>
      </c>
      <c r="W62" s="26">
        <f>'[305]Part 8 - 11'!$G$3</f>
        <v>0</v>
      </c>
      <c r="X62" s="26">
        <f>'[305]Part 8 - 11'!$I$3</f>
        <v>0</v>
      </c>
      <c r="Y62" s="26">
        <f>'[306]Part 2 - 3'!$C$18</f>
        <v>0</v>
      </c>
      <c r="Z62" s="26">
        <f t="shared" ref="Z62:Z67" si="646">+Z61+Y62</f>
        <v>797181.5199999999</v>
      </c>
      <c r="AA62" s="4">
        <f t="shared" ref="AA62" si="647">+Z62/$D$4</f>
        <v>1.7715136657255388E-2</v>
      </c>
      <c r="AB62" s="2">
        <f>'[305]Part 12 - 13 - Deemed Default'!$V$4</f>
        <v>25446348.330000002</v>
      </c>
      <c r="AC62" s="4">
        <f t="shared" ref="AC62" si="648">+AB62/AB$4</f>
        <v>0.64258455378787882</v>
      </c>
      <c r="AD62" s="2">
        <f t="shared" ref="AD62" si="649">+AB62*$AD$2</f>
        <v>21687228.69034091</v>
      </c>
      <c r="AE62" s="2">
        <f>'[305]Part 12 - 13 - Deemed Default'!$V$5</f>
        <v>2744005.4399999985</v>
      </c>
      <c r="AF62" s="8">
        <f t="shared" ref="AF62" si="650">+AE62/$AE$4</f>
        <v>0.6097789866666663</v>
      </c>
      <c r="AG62" s="2">
        <f>'[305]Part 12 - 13 - Deemed Default'!$V$6</f>
        <v>900000</v>
      </c>
      <c r="AH62" s="8">
        <f t="shared" ref="AH62" si="651">+AG62/$AG$4</f>
        <v>1</v>
      </c>
      <c r="AI62" s="8">
        <f t="shared" ref="AI62" si="652">+AB62/D62</f>
        <v>0.81454420315500964</v>
      </c>
      <c r="AJ62" s="2">
        <f>'[305]Part 5 - 7'!$C$45</f>
        <v>273762.51495000004</v>
      </c>
      <c r="AK62" s="4">
        <f t="shared" ref="AK62" si="653">((+D62+AJ62)-AB62)/D62</f>
        <v>0.19421900588000793</v>
      </c>
      <c r="AL62" s="4">
        <f t="shared" ref="AL62" si="654">+S62/$D62</f>
        <v>0.95527398109571926</v>
      </c>
      <c r="AM62" s="4">
        <f t="shared" ref="AM62" si="655">+T62/$D62</f>
        <v>1.4998318552305968E-2</v>
      </c>
      <c r="AN62" s="4">
        <f t="shared" ref="AN62" si="656">+U62/$D62</f>
        <v>1.3425431411288765E-2</v>
      </c>
      <c r="AO62" s="4">
        <f t="shared" ref="AO62" si="657">+V62/$D62</f>
        <v>5.0593248436611908E-3</v>
      </c>
      <c r="AP62" s="4">
        <f t="shared" ref="AP62" si="658">+W62/$D62</f>
        <v>0</v>
      </c>
      <c r="AQ62" s="4">
        <f t="shared" ref="AQ62" si="659">+X62/$D62</f>
        <v>0</v>
      </c>
      <c r="AR62" s="4">
        <f t="shared" ref="AR62" si="660">+Y62/$D62</f>
        <v>0</v>
      </c>
    </row>
    <row r="63" spans="1:44" x14ac:dyDescent="0.25">
      <c r="A63">
        <f t="shared" si="16"/>
        <v>59</v>
      </c>
      <c r="B63" s="3">
        <f t="shared" si="30"/>
        <v>44469</v>
      </c>
      <c r="C63" s="41">
        <f>'[307]Part 1'!$C$17</f>
        <v>981</v>
      </c>
      <c r="D63" s="2">
        <f>'[307]Part 1'!$C$21</f>
        <v>30790843.640000001</v>
      </c>
      <c r="E63" s="44">
        <v>7.49</v>
      </c>
      <c r="F63" s="8">
        <f t="shared" ref="F63" si="661">+D63/D$4</f>
        <v>0.68424065183395499</v>
      </c>
      <c r="G63" s="2">
        <f>'[307]Part 2 - 3'!$C$49</f>
        <v>155142.57</v>
      </c>
      <c r="N63" s="6">
        <f t="shared" ref="N63" si="662">+G63/D62</f>
        <v>4.9661538629134335E-3</v>
      </c>
      <c r="O63" s="6">
        <f t="shared" ref="O63" si="663">1-(+N63-1)^12</f>
        <v>5.7992755804771479E-2</v>
      </c>
      <c r="P63" s="27">
        <f t="shared" ref="P63" si="664">AVERAGE(O61:O63)</f>
        <v>3.5846710002466385E-2</v>
      </c>
      <c r="Q63" s="27">
        <f t="shared" ref="Q63" si="665">AVERAGE(O58:O63)</f>
        <v>3.6945508339220279E-2</v>
      </c>
      <c r="R63" s="27">
        <f t="shared" ref="R63" si="666">AVERAGE(O52:O63)</f>
        <v>3.9940809629199853E-2</v>
      </c>
      <c r="S63" s="26">
        <f>'[307]Part 8 - 11'!$C$3</f>
        <v>29421594.079999998</v>
      </c>
      <c r="T63" s="26">
        <f>'[307]Part 8 - 11'!$D$3</f>
        <v>466653.5</v>
      </c>
      <c r="U63" s="26">
        <f>'[308]Part 8 - 11'!$E$3</f>
        <v>370910.93</v>
      </c>
      <c r="V63" s="26">
        <f>'[307]Part 8 - 11'!$F$3</f>
        <v>262401.63</v>
      </c>
      <c r="W63" s="26">
        <f>'[307]Part 8 - 11'!$G$3</f>
        <v>0</v>
      </c>
      <c r="X63" s="26">
        <f>'[307]Part 8 - 11'!$I$3</f>
        <v>30573.93</v>
      </c>
      <c r="Y63" s="26">
        <f>'[308]Part 8 - 11'!$M$13</f>
        <v>0</v>
      </c>
      <c r="Z63" s="26">
        <f t="shared" si="646"/>
        <v>797181.5199999999</v>
      </c>
      <c r="AA63" s="4">
        <f t="shared" ref="AA63" si="667">+Z63/$D$4</f>
        <v>1.7715136657255388E-2</v>
      </c>
      <c r="AB63" s="2">
        <f>'[307]Part 12 - 13 - Deemed Default'!$V$4</f>
        <v>24997282.080000002</v>
      </c>
      <c r="AC63" s="4">
        <f t="shared" ref="AC63" si="668">+AB63/AB$4</f>
        <v>0.63124449696969698</v>
      </c>
      <c r="AD63" s="2">
        <f t="shared" ref="AD63" si="669">+AB63*$AD$2</f>
        <v>21304501.772727273</v>
      </c>
      <c r="AE63" s="2">
        <f>'[307]Part 12 - 13 - Deemed Default'!$V$5</f>
        <v>2681461.3099999982</v>
      </c>
      <c r="AF63" s="8">
        <f t="shared" ref="AF63" si="670">+AE63/$AE$4</f>
        <v>0.59588029111111074</v>
      </c>
      <c r="AG63" s="2">
        <f>'[307]Part 12 - 13 - Deemed Default'!$V$6</f>
        <v>900000</v>
      </c>
      <c r="AH63" s="8">
        <f t="shared" ref="AH63" si="671">+AG63/$AG$4</f>
        <v>1</v>
      </c>
      <c r="AI63" s="8">
        <f t="shared" ref="AI63" si="672">+AB63/D63</f>
        <v>0.81184141533317211</v>
      </c>
      <c r="AJ63" s="2">
        <f>'[307]Part 5 - 7'!$C$45</f>
        <v>268165.47235000005</v>
      </c>
      <c r="AK63" s="4">
        <f t="shared" ref="AK63" si="673">((+D63+AJ63)-AB63)/D63</f>
        <v>0.19686784497438342</v>
      </c>
      <c r="AL63" s="4">
        <f t="shared" ref="AL63" si="674">+S63/$D63</f>
        <v>0.95553062540250677</v>
      </c>
      <c r="AM63" s="4">
        <f t="shared" ref="AM63" si="675">+T63/$D63</f>
        <v>1.5155593184000202E-2</v>
      </c>
      <c r="AN63" s="4">
        <f t="shared" ref="AN63" si="676">+U63/$D63</f>
        <v>1.2046143793155255E-2</v>
      </c>
      <c r="AO63" s="4">
        <f t="shared" ref="AO63" si="677">+V63/$D63</f>
        <v>8.5220669192420991E-3</v>
      </c>
      <c r="AP63" s="4">
        <f t="shared" ref="AP63" si="678">+W63/$D63</f>
        <v>0</v>
      </c>
      <c r="AQ63" s="4">
        <f t="shared" ref="AQ63" si="679">+X63/$D63</f>
        <v>9.9295525505776615E-4</v>
      </c>
      <c r="AR63" s="4">
        <f t="shared" ref="AR63" si="680">+Y63/$D63</f>
        <v>0</v>
      </c>
    </row>
    <row r="64" spans="1:44" x14ac:dyDescent="0.25">
      <c r="A64">
        <f t="shared" si="16"/>
        <v>60</v>
      </c>
      <c r="B64" s="3">
        <f t="shared" si="30"/>
        <v>44500</v>
      </c>
      <c r="C64" s="41">
        <f>'[309]Part 1'!$C$17</f>
        <v>978</v>
      </c>
      <c r="D64" s="2">
        <f>'[309]Part 1'!$C$21</f>
        <v>30572388.48</v>
      </c>
      <c r="E64" s="44">
        <v>7.49</v>
      </c>
      <c r="F64" s="8">
        <f t="shared" ref="F64" si="681">+D64/D$4</f>
        <v>0.67938609497859459</v>
      </c>
      <c r="G64" s="2">
        <f>'[309]Part 2 - 3'!$C$49</f>
        <v>55542.32</v>
      </c>
      <c r="N64" s="6">
        <f t="shared" ref="N64" si="682">+G64/D63</f>
        <v>1.8038583368935584E-3</v>
      </c>
      <c r="O64" s="6">
        <f t="shared" ref="O64" si="683">1-(+N64-1)^12</f>
        <v>2.1432828401802162E-2</v>
      </c>
      <c r="P64" s="27">
        <f t="shared" ref="P64" si="684">AVERAGE(O62:O64)</f>
        <v>3.6399645570897886E-2</v>
      </c>
      <c r="Q64" s="27">
        <f t="shared" ref="Q64" si="685">AVERAGE(O59:O64)</f>
        <v>3.4755874889453788E-2</v>
      </c>
      <c r="R64" s="27">
        <f t="shared" ref="R64" si="686">AVERAGE(O53:O64)</f>
        <v>3.9674040853964837E-2</v>
      </c>
      <c r="S64" s="26">
        <f>'[309]Part 8 - 11'!$C$3</f>
        <v>29151934.420000002</v>
      </c>
      <c r="T64" s="26">
        <f>'[309]Part 8 - 11'!$D$3</f>
        <v>376948.15</v>
      </c>
      <c r="U64" s="26">
        <f>'[310]Part 8 - 11'!$E$3</f>
        <v>258465.77</v>
      </c>
      <c r="V64" s="26">
        <f>'[309]Part 8 - 11'!$F$3</f>
        <v>243954.38</v>
      </c>
      <c r="W64" s="26">
        <f>'[309]Part 8 - 11'!$G$3</f>
        <v>17997.080000000002</v>
      </c>
      <c r="X64" s="26">
        <f>'[309]Part 8 - 11'!$I$3</f>
        <v>30573.93</v>
      </c>
      <c r="Y64" s="26">
        <f>'[310]Part 8 - 11'!$M$13</f>
        <v>0</v>
      </c>
      <c r="Z64" s="26">
        <f t="shared" si="646"/>
        <v>797181.5199999999</v>
      </c>
      <c r="AA64" s="4">
        <f t="shared" ref="AA64" si="687">+Z64/$D$4</f>
        <v>1.7715136657255388E-2</v>
      </c>
      <c r="AB64" s="2">
        <f>'[309]Part 12 - 13 - Deemed Default'!$V$4</f>
        <v>24778994.190000001</v>
      </c>
      <c r="AC64" s="4">
        <f t="shared" ref="AC64" si="688">+AB64/AB$4</f>
        <v>0.62573217651515156</v>
      </c>
      <c r="AD64" s="2">
        <f t="shared" ref="AD64" si="689">+AB64*$AD$2</f>
        <v>21118460.957386367</v>
      </c>
      <c r="AE64" s="2">
        <f>'[309]Part 12 - 13 - Deemed Default'!$V$5</f>
        <v>2656639.5099999984</v>
      </c>
      <c r="AF64" s="8">
        <f t="shared" ref="AF64" si="690">+AE64/$AE$4</f>
        <v>0.59036433555555523</v>
      </c>
      <c r="AG64" s="2">
        <f>'[309]Part 12 - 13 - Deemed Default'!$V$6</f>
        <v>900000</v>
      </c>
      <c r="AH64" s="8">
        <f t="shared" ref="AH64" si="691">+AG64/$AG$4</f>
        <v>1</v>
      </c>
      <c r="AI64" s="8">
        <f t="shared" ref="AI64" si="692">+AB64/D64</f>
        <v>0.8105023984701113</v>
      </c>
      <c r="AJ64" s="2">
        <f>'[309]Part 5 - 7'!$C$45</f>
        <v>265596.12210000004</v>
      </c>
      <c r="AK64" s="4">
        <f t="shared" ref="AK64" si="693">((+D64+AJ64)-AB64)/D64</f>
        <v>0.19818505237376854</v>
      </c>
      <c r="AL64" s="4">
        <f t="shared" ref="AL64" si="694">+S64/$D64</f>
        <v>0.95353800829368507</v>
      </c>
      <c r="AM64" s="4">
        <f t="shared" ref="AM64" si="695">+T64/$D64</f>
        <v>1.232969253437931E-2</v>
      </c>
      <c r="AN64" s="4">
        <f t="shared" ref="AN64" si="696">+U64/$D64</f>
        <v>8.4542223506378789E-3</v>
      </c>
      <c r="AO64" s="4">
        <f t="shared" ref="AO64" si="697">+V64/$D64</f>
        <v>7.9795656188129133E-3</v>
      </c>
      <c r="AP64" s="4">
        <f t="shared" ref="AP64" si="698">+W64/$D64</f>
        <v>5.8867104909953057E-4</v>
      </c>
      <c r="AQ64" s="4">
        <f t="shared" ref="AQ64" si="699">+X64/$D64</f>
        <v>1.0000504219682086E-3</v>
      </c>
      <c r="AR64" s="4">
        <f t="shared" ref="AR64" si="700">+Y64/$D64</f>
        <v>0</v>
      </c>
    </row>
    <row r="65" spans="1:44" x14ac:dyDescent="0.25">
      <c r="A65">
        <f t="shared" si="16"/>
        <v>61</v>
      </c>
      <c r="B65" s="3">
        <f t="shared" si="30"/>
        <v>44531</v>
      </c>
      <c r="C65" s="41">
        <f>'[311]Part 1'!$C$17</f>
        <v>969</v>
      </c>
      <c r="D65" s="2">
        <f>'[311]Part 1'!$C$21</f>
        <v>30165196.48</v>
      </c>
      <c r="E65" s="44">
        <v>7.49</v>
      </c>
      <c r="F65" s="8">
        <f t="shared" ref="F65" si="701">+D65/D$4</f>
        <v>0.67033738807211596</v>
      </c>
      <c r="G65" s="2">
        <f>'[311]Part 2 - 3'!$C$49</f>
        <v>91320.63</v>
      </c>
      <c r="N65" s="6">
        <f t="shared" ref="N65" si="702">+G65/D64</f>
        <v>2.9870296218347677E-3</v>
      </c>
      <c r="O65" s="6">
        <f t="shared" ref="O65" si="703">1-(+N65-1)^12</f>
        <v>3.5261304698703144E-2</v>
      </c>
      <c r="P65" s="27">
        <f t="shared" ref="P65" si="704">AVERAGE(O63:O65)</f>
        <v>3.8228962968425595E-2</v>
      </c>
      <c r="Q65" s="27">
        <f t="shared" ref="Q65" si="705">AVERAGE(O60:O65)</f>
        <v>3.0844643439605485E-2</v>
      </c>
      <c r="R65" s="27">
        <f t="shared" ref="R65" si="706">AVERAGE(O54:O65)</f>
        <v>4.0549374676256383E-2</v>
      </c>
      <c r="S65" s="26">
        <f>'[311]Part 8 - 11'!$C$3</f>
        <v>29076510.430000003</v>
      </c>
      <c r="T65" s="26">
        <f>'[311]Part 8 - 11'!$D$3</f>
        <v>251322.1</v>
      </c>
      <c r="U65" s="26">
        <f>'[312]Part 8 - 11'!$E$3</f>
        <v>289865.56</v>
      </c>
      <c r="V65" s="26">
        <f>'[311]Part 8 - 11'!$F$3</f>
        <v>46961.96</v>
      </c>
      <c r="W65" s="26">
        <f>'[311]Part 8 - 11'!$G$3</f>
        <v>150933.31</v>
      </c>
      <c r="X65" s="26">
        <f>'[311]Part 8 - 11'!$I$3</f>
        <v>70653.42</v>
      </c>
      <c r="Y65" s="26">
        <f>'[312]Part 8 - 11'!$M$13</f>
        <v>0</v>
      </c>
      <c r="Z65" s="26">
        <f t="shared" si="646"/>
        <v>797181.5199999999</v>
      </c>
      <c r="AA65" s="4">
        <f t="shared" ref="AA65" si="707">+Z65/$D$4</f>
        <v>1.7715136657255388E-2</v>
      </c>
      <c r="AB65" s="2">
        <f>'[311]Part 12 - 13 - Deemed Default'!$V$4</f>
        <v>24371848.050000001</v>
      </c>
      <c r="AC65" s="4">
        <f t="shared" ref="AC65" si="708">+AB65/AB$4</f>
        <v>0.61545070833333337</v>
      </c>
      <c r="AD65" s="2">
        <f t="shared" ref="AD65:AD70" si="709">+AB65*$AD$2</f>
        <v>20771461.40625</v>
      </c>
      <c r="AE65" s="2">
        <f>'[311]Part 12 - 13 - Deemed Default'!$V$5</f>
        <v>2576098.2999999984</v>
      </c>
      <c r="AF65" s="8">
        <f t="shared" ref="AF65" si="710">+AE65/$AE$4</f>
        <v>0.57246628888888851</v>
      </c>
      <c r="AG65" s="2">
        <f>'[311]Part 12 - 13 - Deemed Default'!$V$6</f>
        <v>900000</v>
      </c>
      <c r="AH65" s="8">
        <f t="shared" ref="AH65" si="711">+AG65/$AG$4</f>
        <v>1</v>
      </c>
      <c r="AI65" s="8">
        <f t="shared" ref="AI65" si="712">+AB65/D65</f>
        <v>0.80794594081821813</v>
      </c>
      <c r="AJ65" s="2">
        <f>'[311]Part 5 - 7'!$C$45</f>
        <v>261454.53641250002</v>
      </c>
      <c r="AK65" s="4">
        <f t="shared" ref="AK65" si="713">((+D65+AJ65)-AB65)/D65</f>
        <v>0.20072148279978647</v>
      </c>
      <c r="AL65" s="4">
        <f t="shared" ref="AL65" si="714">+S65/$D65</f>
        <v>0.96390920076645903</v>
      </c>
      <c r="AM65" s="4">
        <f t="shared" ref="AM65" si="715">+T65/$D65</f>
        <v>8.3315253778184582E-3</v>
      </c>
      <c r="AN65" s="4">
        <f t="shared" ref="AN65" si="716">+U65/$D65</f>
        <v>9.6092714062772783E-3</v>
      </c>
      <c r="AO65" s="4">
        <f t="shared" ref="AO65" si="717">+V65/$D65</f>
        <v>1.5568259278913206E-3</v>
      </c>
      <c r="AP65" s="4">
        <f t="shared" ref="AP65" si="718">+W65/$D65</f>
        <v>5.0035579943950026E-3</v>
      </c>
      <c r="AQ65" s="4">
        <f t="shared" ref="AQ65" si="719">+X65/$D65</f>
        <v>2.3422164694615641E-3</v>
      </c>
      <c r="AR65" s="4">
        <f t="shared" ref="AR65" si="720">+Y65/$D65</f>
        <v>0</v>
      </c>
    </row>
    <row r="66" spans="1:44" x14ac:dyDescent="0.25">
      <c r="A66">
        <f t="shared" si="16"/>
        <v>62</v>
      </c>
      <c r="B66" s="3">
        <f t="shared" si="30"/>
        <v>44562</v>
      </c>
      <c r="C66" s="41">
        <f>'[313]Part 1'!$C$17</f>
        <v>969</v>
      </c>
      <c r="D66" s="2">
        <f>'[313]Part 1'!$C$21</f>
        <v>30165196.48</v>
      </c>
      <c r="E66" s="44">
        <v>7.49</v>
      </c>
      <c r="F66" s="8">
        <f t="shared" ref="F66" si="721">+D66/D$4</f>
        <v>0.67033738807211596</v>
      </c>
      <c r="G66" s="2">
        <f>'[313]Part 2 - 3'!$C$49</f>
        <v>91320.63</v>
      </c>
      <c r="N66" s="6">
        <f t="shared" ref="N66" si="722">+G66/D65</f>
        <v>3.0273507437800717E-3</v>
      </c>
      <c r="O66" s="6">
        <f t="shared" ref="O66" si="723">1-(+N66-1)^12</f>
        <v>3.5729391231130059E-2</v>
      </c>
      <c r="P66" s="27">
        <f t="shared" ref="P66" si="724">AVERAGE(O64:O66)</f>
        <v>3.0807841443878454E-2</v>
      </c>
      <c r="Q66" s="27">
        <f t="shared" ref="Q66" si="725">AVERAGE(O61:O66)</f>
        <v>3.3327275723172421E-2</v>
      </c>
      <c r="R66" s="27">
        <f t="shared" ref="R66" si="726">AVERAGE(O55:O66)</f>
        <v>3.9359633807153245E-2</v>
      </c>
      <c r="S66" s="26">
        <f>'[313]Part 8 - 11'!$C$3</f>
        <v>29076510.430000003</v>
      </c>
      <c r="T66" s="26">
        <f>'[313]Part 8 - 11'!$D$3</f>
        <v>251322.1</v>
      </c>
      <c r="U66" s="26">
        <f>'[313]Part 8 - 11'!$E$3</f>
        <v>217873.66</v>
      </c>
      <c r="V66" s="26">
        <f>'[313]Part 8 - 11'!$F$3</f>
        <v>46961.96</v>
      </c>
      <c r="W66" s="26">
        <f>'[313]Part 8 - 11'!$G$3</f>
        <v>150933.31</v>
      </c>
      <c r="X66" s="26">
        <f>'[313]Part 8 - 11'!$I$3</f>
        <v>70653.42</v>
      </c>
      <c r="Y66" s="26">
        <f>'[313]Part 8 - 11'!$M$13</f>
        <v>0</v>
      </c>
      <c r="Z66" s="26">
        <f t="shared" si="646"/>
        <v>797181.5199999999</v>
      </c>
      <c r="AA66" s="4">
        <f t="shared" ref="AA66" si="727">+Z66/$D$4</f>
        <v>1.7715136657255388E-2</v>
      </c>
      <c r="AB66" s="2">
        <f>'[313]Part 12 - 13 - Deemed Default'!$V$4</f>
        <v>24371848.050000001</v>
      </c>
      <c r="AC66" s="4">
        <f t="shared" ref="AC66" si="728">+AB66/AB$4</f>
        <v>0.61545070833333337</v>
      </c>
      <c r="AD66" s="2">
        <f t="shared" si="709"/>
        <v>20771461.40625</v>
      </c>
      <c r="AE66" s="2">
        <f>'[313]Part 12 - 13 - Deemed Default'!$V$5</f>
        <v>2576098.2999999984</v>
      </c>
      <c r="AF66" s="8">
        <f t="shared" ref="AF66" si="729">+AE66/$AE$4</f>
        <v>0.57246628888888851</v>
      </c>
      <c r="AG66" s="2">
        <f>'[313]Part 12 - 13 - Deemed Default'!$V$6</f>
        <v>900000</v>
      </c>
      <c r="AH66" s="8">
        <f t="shared" ref="AH66" si="730">+AG66/$AG$4</f>
        <v>1</v>
      </c>
      <c r="AI66" s="8">
        <f t="shared" ref="AI66" si="731">+AB66/D66</f>
        <v>0.80794594081821813</v>
      </c>
      <c r="AJ66" s="2">
        <f>'[313]Part 5 - 7'!$C$45</f>
        <v>261454.53641250002</v>
      </c>
      <c r="AK66" s="4">
        <f t="shared" ref="AK66" si="732">((+D66+AJ66)-AB66)/D66</f>
        <v>0.20072148279978647</v>
      </c>
      <c r="AL66" s="4">
        <f t="shared" ref="AL66" si="733">+S66/$D66</f>
        <v>0.96390920076645903</v>
      </c>
      <c r="AM66" s="4">
        <f t="shared" ref="AM66" si="734">+T66/$D66</f>
        <v>8.3315253778184582E-3</v>
      </c>
      <c r="AN66" s="4">
        <f t="shared" ref="AN66" si="735">+U66/$D66</f>
        <v>7.2226832715793403E-3</v>
      </c>
      <c r="AO66" s="4">
        <f t="shared" ref="AO66" si="736">+V66/$D66</f>
        <v>1.5568259278913206E-3</v>
      </c>
      <c r="AP66" s="4">
        <f t="shared" ref="AP66" si="737">+W66/$D66</f>
        <v>5.0035579943950026E-3</v>
      </c>
      <c r="AQ66" s="4">
        <f t="shared" ref="AQ66" si="738">+X66/$D66</f>
        <v>2.3422164694615641E-3</v>
      </c>
      <c r="AR66" s="4">
        <f t="shared" ref="AR66" si="739">+Y66/$D66</f>
        <v>0</v>
      </c>
    </row>
    <row r="67" spans="1:44" x14ac:dyDescent="0.25">
      <c r="A67">
        <f t="shared" si="16"/>
        <v>63</v>
      </c>
      <c r="B67" s="3">
        <f t="shared" si="30"/>
        <v>44593</v>
      </c>
      <c r="C67" s="41">
        <f>'[314]Part 1'!$C$17</f>
        <v>966</v>
      </c>
      <c r="D67" s="2">
        <f>'[314]Part 1'!$C$21</f>
        <v>30056161.68</v>
      </c>
      <c r="E67" s="44">
        <v>7.49</v>
      </c>
      <c r="F67" s="8">
        <f t="shared" ref="F67" si="740">+D67/D$4</f>
        <v>0.66791439364244509</v>
      </c>
      <c r="G67" s="2">
        <f>'[314]Part 2 - 3'!$C$49</f>
        <v>26044.799999999999</v>
      </c>
      <c r="N67" s="6">
        <f t="shared" ref="N67" si="741">+G67/D66</f>
        <v>8.6340561438968619E-4</v>
      </c>
      <c r="O67" s="6">
        <f t="shared" ref="O67" si="742">1-(+N67-1)^12</f>
        <v>1.0311807728459632E-2</v>
      </c>
      <c r="P67" s="27">
        <f t="shared" ref="P67" si="743">AVERAGE(O65:O67)</f>
        <v>2.710083455276428E-2</v>
      </c>
      <c r="Q67" s="27">
        <f t="shared" ref="Q67" si="744">AVERAGE(O62:O67)</f>
        <v>3.1750240061831081E-2</v>
      </c>
      <c r="R67" s="27">
        <f t="shared" ref="R67" si="745">AVERAGE(O56:O67)</f>
        <v>3.5471888342784474E-2</v>
      </c>
      <c r="S67" s="26">
        <f>'[314]Part 8 - 11'!$C$3</f>
        <v>28963402.079999998</v>
      </c>
      <c r="T67" s="26">
        <f>'[314]Part 8 - 11'!$D$3</f>
        <v>331833.65000000002</v>
      </c>
      <c r="U67" s="26">
        <f>'[314]Part 8 - 11'!$E$3</f>
        <v>112341.38</v>
      </c>
      <c r="V67" s="26">
        <f>'[314]Part 8 - 11'!$F$3</f>
        <v>146860.29999999999</v>
      </c>
      <c r="W67" s="26">
        <f>'[314]Part 8 - 11'!$G$3</f>
        <v>115588.05</v>
      </c>
      <c r="X67" s="26">
        <f>'[314]Part 8 - 11'!$I$3</f>
        <v>35360.03</v>
      </c>
      <c r="Y67" s="26">
        <f>'[314]Part 8 - 11'!$M$13</f>
        <v>0</v>
      </c>
      <c r="Z67" s="26">
        <f t="shared" si="646"/>
        <v>797181.5199999999</v>
      </c>
      <c r="AA67" s="4">
        <f t="shared" ref="AA67" si="746">+Z67/$D$4</f>
        <v>1.7715136657255388E-2</v>
      </c>
      <c r="AB67" s="2">
        <f>'[314]Part 12 - 13 - Deemed Default'!$V$4</f>
        <v>24262978.66</v>
      </c>
      <c r="AC67" s="4">
        <f t="shared" ref="AC67" si="747">+AB67/AB$4</f>
        <v>0.61270148131313129</v>
      </c>
      <c r="AD67" s="2">
        <f t="shared" si="709"/>
        <v>20678674.994318184</v>
      </c>
      <c r="AE67" s="2">
        <f>'[314]Part 12 - 13 - Deemed Default'!$V$5</f>
        <v>2538213.0099999984</v>
      </c>
      <c r="AF67" s="8">
        <f t="shared" ref="AF67" si="748">+AE67/$AE$4</f>
        <v>0.5640473355555552</v>
      </c>
      <c r="AG67" s="2">
        <f>'[314]Part 12 - 13 - Deemed Default'!$V$6</f>
        <v>900000</v>
      </c>
      <c r="AH67" s="8">
        <f t="shared" ref="AH67" si="749">+AG67/$AG$4</f>
        <v>1</v>
      </c>
      <c r="AI67" s="8">
        <f t="shared" ref="AI67" si="750">+AB67/D67</f>
        <v>0.80725472927386788</v>
      </c>
      <c r="AJ67" s="2">
        <f>'[314]Part 5 - 7'!$C$45</f>
        <v>258950.88553125004</v>
      </c>
      <c r="AK67" s="4">
        <f t="shared" ref="AK67" si="751">((+D67+AJ67)-AB67)/D67</f>
        <v>0.20136083808593785</v>
      </c>
      <c r="AL67" s="4">
        <f t="shared" ref="AL67" si="752">+S67/$D67</f>
        <v>0.96364274282144458</v>
      </c>
      <c r="AM67" s="4">
        <f t="shared" ref="AM67" si="753">+T67/$D67</f>
        <v>1.104045331978664E-2</v>
      </c>
      <c r="AN67" s="4">
        <f t="shared" ref="AN67" si="754">+U67/$D67</f>
        <v>3.7377154540246672E-3</v>
      </c>
      <c r="AO67" s="4">
        <f t="shared" ref="AO67" si="755">+V67/$D67</f>
        <v>4.8861961006060172E-3</v>
      </c>
      <c r="AP67" s="4">
        <f t="shared" ref="AP67" si="756">+W67/$D67</f>
        <v>3.8457355676561559E-3</v>
      </c>
      <c r="AQ67" s="4">
        <f t="shared" ref="AQ67" si="757">+X67/$D67</f>
        <v>1.1764652578219695E-3</v>
      </c>
      <c r="AR67" s="4">
        <f t="shared" ref="AR67" si="758">+Y67/$D67</f>
        <v>0</v>
      </c>
    </row>
    <row r="68" spans="1:44" x14ac:dyDescent="0.25">
      <c r="A68">
        <f t="shared" si="16"/>
        <v>64</v>
      </c>
      <c r="B68" s="3">
        <f t="shared" si="30"/>
        <v>44624</v>
      </c>
      <c r="C68" s="41">
        <f>'[315]Part 1'!$C$17</f>
        <v>961</v>
      </c>
      <c r="D68" s="2">
        <f>'[315]Part 1'!$C$21</f>
        <v>29808652.32</v>
      </c>
      <c r="E68" s="44">
        <v>7.49</v>
      </c>
      <c r="F68" s="8">
        <f t="shared" ref="F68" si="759">+D68/D$4</f>
        <v>0.6624141881982073</v>
      </c>
      <c r="G68" s="2">
        <f>'[315]Part 2 - 3'!$C$49</f>
        <v>123941.55</v>
      </c>
      <c r="N68" s="6">
        <f t="shared" ref="N68" si="760">+G68/D67</f>
        <v>4.1236652676936228E-3</v>
      </c>
      <c r="O68" s="6">
        <f t="shared" ref="O68" si="761">1-(+N68-1)^12</f>
        <v>4.8376963108718085E-2</v>
      </c>
      <c r="P68" s="27">
        <f t="shared" ref="P68" si="762">AVERAGE(O66:O68)</f>
        <v>3.1472720689435928E-2</v>
      </c>
      <c r="Q68" s="27">
        <f t="shared" ref="Q68" si="763">AVERAGE(O63:O68)</f>
        <v>3.4850841828930758E-2</v>
      </c>
      <c r="R68" s="27">
        <f t="shared" ref="R68" si="764">AVERAGE(O57:O68)</f>
        <v>3.5275389639145976E-2</v>
      </c>
      <c r="S68" s="26">
        <f>'[315]Part 8 - 11'!$C$3</f>
        <v>28765973.539999999</v>
      </c>
      <c r="T68" s="26">
        <f>'[315]Part 8 - 11'!$D$3</f>
        <v>321444.14</v>
      </c>
      <c r="U68" s="26">
        <f>'[315]Part 8 - 11'!$E$3</f>
        <v>111345.41</v>
      </c>
      <c r="V68" s="26">
        <f>'[315]Part 8 - 11'!$F$3</f>
        <v>92254.73</v>
      </c>
      <c r="W68" s="26">
        <f>'[315]Part 8 - 11'!$G$3</f>
        <v>170981.28</v>
      </c>
      <c r="X68" s="26">
        <f>'[315]Part 8 - 11'!$I$3</f>
        <v>0</v>
      </c>
      <c r="Y68" s="26">
        <f>'[315]Part 8 - 11'!$M$13</f>
        <v>0</v>
      </c>
      <c r="Z68" s="26">
        <f t="shared" ref="Z68" si="765">+Z67+Y68</f>
        <v>797181.5199999999</v>
      </c>
      <c r="AA68" s="4">
        <f t="shared" ref="AA68" si="766">+Z68/$D$4</f>
        <v>1.7715136657255388E-2</v>
      </c>
      <c r="AB68" s="2">
        <f>'[315]Part 12 - 13 - Deemed Default'!$V$4</f>
        <v>24019592.27</v>
      </c>
      <c r="AC68" s="4">
        <f t="shared" ref="AC68" si="767">+AB68/AB$4</f>
        <v>0.6065553603535353</v>
      </c>
      <c r="AD68" s="2">
        <f t="shared" si="709"/>
        <v>20471243.411931816</v>
      </c>
      <c r="AE68" s="2">
        <f>'[315]Part 12 - 13 - Deemed Default'!$V$5</f>
        <v>2506375.4999999986</v>
      </c>
      <c r="AF68" s="8">
        <f t="shared" ref="AF68" si="768">+AE68/$AE$4</f>
        <v>0.55697233333333307</v>
      </c>
      <c r="AG68" s="2">
        <f>'[315]Part 12 - 13 - Deemed Default'!$V$6</f>
        <v>900000</v>
      </c>
      <c r="AH68" s="8">
        <f t="shared" ref="AH68" si="769">+AG68/$AG$4</f>
        <v>1</v>
      </c>
      <c r="AI68" s="8">
        <f t="shared" ref="AI68" si="770">+AB68/D68</f>
        <v>0.80579262732666879</v>
      </c>
      <c r="AJ68" s="2">
        <f>'[315]Part 5 - 7'!$C$45</f>
        <v>257794.14826250001</v>
      </c>
      <c r="AK68" s="4">
        <f t="shared" ref="AK68" si="771">((+D68+AJ68)-AB68)/D68</f>
        <v>0.20285567201591961</v>
      </c>
      <c r="AL68" s="4">
        <f t="shared" ref="AL68" si="772">+S68/$D68</f>
        <v>0.96502093523696741</v>
      </c>
      <c r="AM68" s="4">
        <f t="shared" ref="AM68" si="773">+T68/$D68</f>
        <v>1.0783585133244292E-2</v>
      </c>
      <c r="AN68" s="4">
        <f t="shared" ref="AN68" si="774">+U68/$D68</f>
        <v>3.735338612584415E-3</v>
      </c>
      <c r="AO68" s="4">
        <f t="shared" ref="AO68" si="775">+V68/$D68</f>
        <v>3.0948977165969373E-3</v>
      </c>
      <c r="AP68" s="4">
        <f t="shared" ref="AP68" si="776">+W68/$D68</f>
        <v>5.7359614304092763E-3</v>
      </c>
      <c r="AQ68" s="4">
        <f t="shared" ref="AQ68" si="777">+X68/$D68</f>
        <v>0</v>
      </c>
      <c r="AR68" s="4">
        <f t="shared" ref="AR68" si="778">+Y68/$D68</f>
        <v>0</v>
      </c>
    </row>
    <row r="69" spans="1:44" x14ac:dyDescent="0.25">
      <c r="A69">
        <f t="shared" si="16"/>
        <v>65</v>
      </c>
      <c r="B69" s="3">
        <f t="shared" si="30"/>
        <v>44655</v>
      </c>
      <c r="C69" s="41">
        <f>'[316]Part 1'!$C$17</f>
        <v>957</v>
      </c>
      <c r="D69" s="2">
        <f>'[316]Part 1'!$C$21</f>
        <v>29548285.539999999</v>
      </c>
      <c r="E69" s="44">
        <v>7.49</v>
      </c>
      <c r="F69" s="8">
        <f t="shared" ref="F69" si="779">+D69/D$4</f>
        <v>0.65662826244228967</v>
      </c>
      <c r="G69" s="2">
        <f>'[316]Part 2 - 3'!$C$49</f>
        <v>134894.82</v>
      </c>
      <c r="N69" s="6">
        <f t="shared" ref="N69" si="780">+G69/D68</f>
        <v>4.5253578911211914E-3</v>
      </c>
      <c r="O69" s="6">
        <f t="shared" ref="O69" si="781">1-(+N69-1)^12</f>
        <v>5.2972871888397943E-2</v>
      </c>
      <c r="P69" s="27">
        <f t="shared" ref="P69" si="782">AVERAGE(O67:O69)</f>
        <v>3.7220547575191887E-2</v>
      </c>
      <c r="Q69" s="27">
        <f t="shared" ref="Q69" si="783">AVERAGE(O64:O69)</f>
        <v>3.4014194509535169E-2</v>
      </c>
      <c r="R69" s="27">
        <f t="shared" ref="R69" si="784">AVERAGE(O58:O69)</f>
        <v>3.5479851424377727E-2</v>
      </c>
      <c r="S69" s="26">
        <f>'[316]Part 8 - 11'!$C$3</f>
        <v>28501867.860000003</v>
      </c>
      <c r="T69" s="26">
        <f>'[316]Part 8 - 11'!$D$3</f>
        <v>394375.8</v>
      </c>
      <c r="U69" s="26">
        <f>'[316]Part 8 - 11'!$E$3</f>
        <v>92190.35</v>
      </c>
      <c r="V69" s="26">
        <f>'[316]Part 8 - 11'!$F$3</f>
        <v>46738.52</v>
      </c>
      <c r="W69" s="26">
        <f>'[316]Part 8 - 11'!$G$3</f>
        <v>70966.899999999994</v>
      </c>
      <c r="X69" s="26">
        <f>'[316]Part 8 - 11'!$I$3</f>
        <v>95549.19</v>
      </c>
      <c r="Y69" s="26">
        <f>'[316]Part 8 - 11'!$M$13</f>
        <v>0</v>
      </c>
      <c r="Z69" s="26">
        <f t="shared" ref="Z69" si="785">+Z68+Y69</f>
        <v>797181.5199999999</v>
      </c>
      <c r="AA69" s="4">
        <f t="shared" ref="AA69" si="786">+Z69/$D$4</f>
        <v>1.7715136657255388E-2</v>
      </c>
      <c r="AB69" s="2">
        <f>'[316]Part 12 - 13 - Deemed Default'!$V$4</f>
        <v>23759281.789999999</v>
      </c>
      <c r="AC69" s="4">
        <f t="shared" ref="AC69" si="787">+AB69/AB$4</f>
        <v>0.59998186338383841</v>
      </c>
      <c r="AD69" s="2">
        <f t="shared" si="709"/>
        <v>20249387.889204547</v>
      </c>
      <c r="AE69" s="2">
        <f>'[316]Part 12 - 13 - Deemed Default'!$V$5</f>
        <v>2471051.9099999988</v>
      </c>
      <c r="AF69" s="8">
        <f t="shared" ref="AF69" si="788">+AE69/$AE$4</f>
        <v>0.54912264666666644</v>
      </c>
      <c r="AG69" s="2">
        <f>'[316]Part 12 - 13 - Deemed Default'!$V$6</f>
        <v>900000</v>
      </c>
      <c r="AH69" s="8">
        <f t="shared" ref="AH69" si="789">+AG69/$AG$4</f>
        <v>1</v>
      </c>
      <c r="AI69" s="8">
        <f t="shared" ref="AI69" si="790">+AB69/D69</f>
        <v>0.80408326086590265</v>
      </c>
      <c r="AJ69" s="2">
        <f>'[316]Part 5 - 7'!$C$45</f>
        <v>255208.16786875002</v>
      </c>
      <c r="AK69" s="4">
        <f t="shared" ref="AK69" si="791">((+D69+AJ69)-AB69)/D69</f>
        <v>0.20455372646533415</v>
      </c>
      <c r="AL69" s="4">
        <f t="shared" ref="AL69" si="792">+S69/$D69</f>
        <v>0.96458617950664371</v>
      </c>
      <c r="AM69" s="4">
        <f t="shared" ref="AM69" si="793">+T69/$D69</f>
        <v>1.3346825130213629E-2</v>
      </c>
      <c r="AN69" s="4">
        <f t="shared" ref="AN69" si="794">+U69/$D69</f>
        <v>3.1199898171824694E-3</v>
      </c>
      <c r="AO69" s="4">
        <f t="shared" ref="AO69" si="795">+V69/$D69</f>
        <v>1.5817675762178924E-3</v>
      </c>
      <c r="AP69" s="4">
        <f t="shared" ref="AP69" si="796">+W69/$D69</f>
        <v>2.4017264860910774E-3</v>
      </c>
      <c r="AQ69" s="4">
        <f t="shared" ref="AQ69" si="797">+X69/$D69</f>
        <v>3.233662740623428E-3</v>
      </c>
      <c r="AR69" s="4">
        <f t="shared" ref="AR69" si="798">+Y69/$D69</f>
        <v>0</v>
      </c>
    </row>
    <row r="70" spans="1:44" x14ac:dyDescent="0.25">
      <c r="A70">
        <f t="shared" si="16"/>
        <v>66</v>
      </c>
      <c r="B70" s="3">
        <f t="shared" si="30"/>
        <v>44686</v>
      </c>
      <c r="C70" s="41">
        <f>'[317]Part 1'!$C$17</f>
        <v>954</v>
      </c>
      <c r="D70" s="2">
        <f>'[317]Part 1'!$C$21</f>
        <v>29418874.57</v>
      </c>
      <c r="E70" s="44">
        <v>7.49</v>
      </c>
      <c r="F70" s="8">
        <f t="shared" ref="F70" si="799">+D70/D$4</f>
        <v>0.65375246444524382</v>
      </c>
      <c r="G70" s="2">
        <f>'[317]Part 2 - 3'!$C$49</f>
        <v>34199.29</v>
      </c>
      <c r="N70" s="6">
        <f t="shared" ref="N70" si="800">+G70/D69</f>
        <v>1.1574035303572473E-3</v>
      </c>
      <c r="O70" s="6">
        <f t="shared" ref="O70" si="801">1-(+N70-1)^12</f>
        <v>1.3800770100505733E-2</v>
      </c>
      <c r="P70" s="27">
        <f t="shared" ref="P70" si="802">AVERAGE(O68:O70)</f>
        <v>3.8383535032540585E-2</v>
      </c>
      <c r="Q70" s="27">
        <f t="shared" ref="Q70" si="803">AVERAGE(O65:O70)</f>
        <v>3.274218479265243E-2</v>
      </c>
      <c r="R70" s="27">
        <f t="shared" ref="R70" si="804">AVERAGE(O59:O70)</f>
        <v>3.3749029841053109E-2</v>
      </c>
      <c r="S70" s="26">
        <f>'[317]Part 8 - 11'!$C$3</f>
        <v>28194034.68</v>
      </c>
      <c r="T70" s="26">
        <f>'[317]Part 8 - 11'!$D$3</f>
        <v>519742.27</v>
      </c>
      <c r="U70" s="26">
        <f>'[317]Part 8 - 11'!$E$3</f>
        <v>145383.14000000001</v>
      </c>
      <c r="V70" s="26">
        <f>'[317]Part 8 - 11'!$F$3</f>
        <v>28917.48</v>
      </c>
      <c r="W70" s="26">
        <f>'[317]Part 8 - 11'!$G$3</f>
        <v>128734.78</v>
      </c>
      <c r="X70" s="26">
        <f>'[317]Part 8 - 11'!$I$3</f>
        <v>0</v>
      </c>
      <c r="Y70" s="26">
        <f>'[317]Part 8 - 11'!$M$13</f>
        <v>55469.7</v>
      </c>
      <c r="Z70" s="26">
        <f t="shared" ref="Z70" si="805">+Z69+Y70</f>
        <v>852651.21999999986</v>
      </c>
      <c r="AA70" s="4">
        <f t="shared" ref="AA70" si="806">+Z70/$D$4</f>
        <v>1.8947796084479641E-2</v>
      </c>
      <c r="AB70" s="2">
        <f>'[317]Part 12 - 13 - Deemed Default'!$V$4</f>
        <v>23579004.73</v>
      </c>
      <c r="AC70" s="4">
        <f t="shared" ref="AC70" si="807">+AB70/AB$4</f>
        <v>0.59542941237373737</v>
      </c>
      <c r="AD70" s="2">
        <f t="shared" si="709"/>
        <v>20095742.667613637</v>
      </c>
      <c r="AE70" s="2">
        <f>'[317]Part 12 - 13 - Deemed Default'!$V$5</f>
        <v>2471051.9099999988</v>
      </c>
      <c r="AF70" s="8">
        <f t="shared" ref="AF70" si="808">+AE70/$AE$4</f>
        <v>0.54912264666666644</v>
      </c>
      <c r="AG70" s="2">
        <f>'[317]Part 12 - 13 - Deemed Default'!$V$6</f>
        <v>900000</v>
      </c>
      <c r="AH70" s="8">
        <f t="shared" ref="AH70" si="809">+AG70/$AG$4</f>
        <v>1</v>
      </c>
      <c r="AI70" s="8">
        <f t="shared" ref="AI70" si="810">+AB70/D70</f>
        <v>0.80149241174727914</v>
      </c>
      <c r="AJ70" s="2">
        <f>'[317]Part 5 - 7'!$C$45</f>
        <v>252442.36901875</v>
      </c>
      <c r="AK70" s="4">
        <f t="shared" ref="AK70" si="811">((+D70+AJ70)-AB70)/D70</f>
        <v>0.20708855447622748</v>
      </c>
      <c r="AL70" s="4">
        <f t="shared" ref="AL70" si="812">+S70/$D70</f>
        <v>0.95836550826967948</v>
      </c>
      <c r="AM70" s="4">
        <f t="shared" ref="AM70" si="813">+T70/$D70</f>
        <v>1.7666966449151968E-2</v>
      </c>
      <c r="AN70" s="4">
        <f t="shared" ref="AN70" si="814">+U70/$D70</f>
        <v>4.941832144328695E-3</v>
      </c>
      <c r="AO70" s="4">
        <f t="shared" ref="AO70" si="815">+V70/$D70</f>
        <v>9.8295670458749306E-4</v>
      </c>
      <c r="AP70" s="4">
        <f t="shared" ref="AP70" si="816">+W70/$D70</f>
        <v>4.3759247041787836E-3</v>
      </c>
      <c r="AQ70" s="4">
        <f t="shared" ref="AQ70" si="817">+X70/$D70</f>
        <v>0</v>
      </c>
      <c r="AR70" s="4">
        <f t="shared" ref="AR70" si="818">+Y70/$D70</f>
        <v>1.8855140045556133E-3</v>
      </c>
    </row>
    <row r="71" spans="1:44" x14ac:dyDescent="0.25">
      <c r="A71">
        <f t="shared" si="16"/>
        <v>67</v>
      </c>
      <c r="B71" s="3">
        <f t="shared" si="30"/>
        <v>44717</v>
      </c>
      <c r="C71" s="41">
        <f>'[318]Part 1'!$C$17</f>
        <v>951</v>
      </c>
      <c r="D71" s="2">
        <f>'[318]Part 1'!$C$21</f>
        <v>29276752.32</v>
      </c>
      <c r="E71" s="44">
        <v>7.49</v>
      </c>
      <c r="F71" s="8">
        <f t="shared" ref="F71" si="819">+D71/D$4</f>
        <v>0.6505941936905647</v>
      </c>
      <c r="G71" s="2">
        <f>'[318]Part 2 - 3'!$C$49</f>
        <v>47625.84</v>
      </c>
      <c r="N71" s="6">
        <f t="shared" ref="N71" si="820">+G71/D70</f>
        <v>1.618887217683256E-3</v>
      </c>
      <c r="O71" s="6">
        <f t="shared" ref="O71" si="821">1-(+N71-1)^12</f>
        <v>1.9254604106718975E-2</v>
      </c>
      <c r="P71" s="27">
        <f t="shared" ref="P71" si="822">AVERAGE(O69:O71)</f>
        <v>2.8676082031874217E-2</v>
      </c>
      <c r="Q71" s="27">
        <f t="shared" ref="Q71" si="823">AVERAGE(O66:O71)</f>
        <v>3.0074401360655072E-2</v>
      </c>
      <c r="R71" s="27">
        <f t="shared" ref="R71" si="824">AVERAGE(O60:O71)</f>
        <v>3.0459522400130279E-2</v>
      </c>
      <c r="S71" s="26">
        <f>'[318]Part 8 - 11'!$C$3</f>
        <v>28061693.210000001</v>
      </c>
      <c r="T71" s="26">
        <f>'[318]Part 8 - 11'!$D$3</f>
        <v>412026.22</v>
      </c>
      <c r="U71" s="26">
        <f>'[318]Part 8 - 11'!$E$3</f>
        <v>225473.84</v>
      </c>
      <c r="V71" s="26">
        <f>'[318]Part 8 - 11'!$F$3</f>
        <v>47701.599999999999</v>
      </c>
      <c r="W71" s="26">
        <f>'[318]Part 8 - 11'!$G$3</f>
        <v>89252.72</v>
      </c>
      <c r="X71" s="26">
        <f>'[318]Part 8 - 11'!$I$3</f>
        <v>53479.01</v>
      </c>
      <c r="Y71" s="26">
        <f>'[318]Part 8 - 11'!$M$13</f>
        <v>0</v>
      </c>
      <c r="Z71" s="26">
        <f t="shared" ref="Z71" si="825">+Z70+Y71</f>
        <v>852651.21999999986</v>
      </c>
      <c r="AA71" s="4">
        <f t="shared" ref="AA71" si="826">+Z71/$D$4</f>
        <v>1.8947796084479641E-2</v>
      </c>
      <c r="AB71" s="2">
        <f>'[318]Part 12 - 13 - Deemed Default'!$V$4</f>
        <v>23447219.77</v>
      </c>
      <c r="AC71" s="4">
        <f t="shared" ref="AC71" si="827">+AB71/AB$4</f>
        <v>0.59210150934343431</v>
      </c>
      <c r="AD71" s="2">
        <f t="shared" ref="AD71" si="828">+AB71*$AD$2</f>
        <v>19983425.94034091</v>
      </c>
      <c r="AE71" s="2">
        <f>'[318]Part 12 - 13 - Deemed Default'!$V$5</f>
        <v>2432085.8599999989</v>
      </c>
      <c r="AF71" s="8">
        <f t="shared" ref="AF71" si="829">+AE71/$AE$4</f>
        <v>0.54046352444444423</v>
      </c>
      <c r="AG71" s="2">
        <f>'[318]Part 12 - 13 - Deemed Default'!$V$6</f>
        <v>900000</v>
      </c>
      <c r="AH71" s="8">
        <f t="shared" ref="AH71" si="830">+AG71/$AG$4</f>
        <v>1</v>
      </c>
      <c r="AI71" s="8">
        <f t="shared" ref="AI71" si="831">+AB71/D71</f>
        <v>0.80088185717178617</v>
      </c>
      <c r="AJ71" s="2">
        <f>'[318]Part 5 - 7'!$C$45</f>
        <v>250526.92525625002</v>
      </c>
      <c r="AK71" s="4">
        <f t="shared" ref="AK71" si="832">((+D71+AJ71)-AB71)/D71</f>
        <v>0.20767533942290253</v>
      </c>
      <c r="AL71" s="4">
        <f t="shared" ref="AL71" si="833">+S71/$D71</f>
        <v>0.95849747619820702</v>
      </c>
      <c r="AM71" s="4">
        <f t="shared" ref="AM71" si="834">+T71/$D71</f>
        <v>1.407349474752123E-2</v>
      </c>
      <c r="AN71" s="4">
        <f t="shared" ref="AN71" si="835">+U71/$D71</f>
        <v>7.7014635208007935E-3</v>
      </c>
      <c r="AO71" s="4">
        <f t="shared" ref="AO71" si="836">+V71/$D71</f>
        <v>1.629333727956339E-3</v>
      </c>
      <c r="AP71" s="4">
        <f t="shared" ref="AP71" si="837">+W71/$D71</f>
        <v>3.0485867771278805E-3</v>
      </c>
      <c r="AQ71" s="4">
        <f t="shared" ref="AQ71" si="838">+X71/$D71</f>
        <v>1.8266715315778579E-3</v>
      </c>
      <c r="AR71" s="4">
        <f t="shared" ref="AR71" si="839">+Y71/$D71</f>
        <v>0</v>
      </c>
    </row>
    <row r="72" spans="1:44" x14ac:dyDescent="0.25">
      <c r="A72">
        <f t="shared" si="16"/>
        <v>68</v>
      </c>
      <c r="B72" s="3">
        <f t="shared" si="30"/>
        <v>44748</v>
      </c>
      <c r="C72" s="41">
        <f>'[319]Part 1'!$C$17</f>
        <v>947</v>
      </c>
      <c r="D72" s="2">
        <f>'[319]Part 1'!$C$21</f>
        <v>29034674.579999998</v>
      </c>
      <c r="E72" s="44">
        <v>7.49</v>
      </c>
      <c r="F72" s="8">
        <f t="shared" ref="F72" si="840">+D72/D$4</f>
        <v>0.64521469085690697</v>
      </c>
      <c r="G72" s="2">
        <f>'[319]Part 2 - 3'!$C$49</f>
        <v>96388.46</v>
      </c>
      <c r="N72" s="6">
        <f t="shared" ref="N72" si="841">+G72/D71</f>
        <v>3.2923207788369884E-3</v>
      </c>
      <c r="O72" s="6">
        <f t="shared" ref="O72" si="842">1-(+N72-1)^12</f>
        <v>3.8800243744049667E-2</v>
      </c>
      <c r="P72" s="27">
        <f t="shared" ref="P72" si="843">AVERAGE(O70:O72)</f>
        <v>2.3951872650424793E-2</v>
      </c>
      <c r="Q72" s="27">
        <f t="shared" ref="Q72" si="844">AVERAGE(O67:O72)</f>
        <v>3.0586210112808338E-2</v>
      </c>
      <c r="R72" s="27">
        <f t="shared" ref="R72" si="845">AVERAGE(O61:O72)</f>
        <v>3.1956742917990381E-2</v>
      </c>
      <c r="S72" s="26">
        <f>'[319]Part 8 - 11'!$C$3</f>
        <v>27643630.049999997</v>
      </c>
      <c r="T72" s="26">
        <f>'[319]Part 8 - 11'!$D$3</f>
        <v>678508.65</v>
      </c>
      <c r="U72" s="26">
        <f>'[319]Part 8 - 11'!$E$3</f>
        <v>177359.44</v>
      </c>
      <c r="V72" s="26">
        <f>'[319]Part 8 - 11'!$F$3</f>
        <v>56208.58</v>
      </c>
      <c r="W72" s="26">
        <f>'[319]Part 8 - 11'!$G$3</f>
        <v>94002.84</v>
      </c>
      <c r="X72" s="26">
        <f>'[319]Part 8 - 11'!$I$3</f>
        <v>14096.64</v>
      </c>
      <c r="Y72" s="26">
        <f>'[319]Part 8 - 11'!$M$13</f>
        <v>13399.52</v>
      </c>
      <c r="Z72" s="26">
        <f t="shared" ref="Z72" si="846">+Z71+Y72</f>
        <v>866050.73999999987</v>
      </c>
      <c r="AA72" s="4">
        <f t="shared" ref="AA72" si="847">+Z72/$D$4</f>
        <v>1.9245563057228365E-2</v>
      </c>
      <c r="AB72" s="2">
        <f>'[319]Part 12 - 13 - Deemed Default'!$V$4</f>
        <v>23221399.370000001</v>
      </c>
      <c r="AC72" s="4">
        <f t="shared" ref="AC72" si="848">+AB72/AB$4</f>
        <v>0.58639897398989904</v>
      </c>
      <c r="AD72" s="2">
        <f t="shared" ref="AD72" si="849">+AB72*$AD$2</f>
        <v>19790965.372159094</v>
      </c>
      <c r="AE72" s="2">
        <f>'[319]Part 12 - 13 - Deemed Default'!$V$5</f>
        <v>2380307.0599999991</v>
      </c>
      <c r="AF72" s="8">
        <f t="shared" ref="AF72" si="850">+AE72/$AE$4</f>
        <v>0.5289571244444442</v>
      </c>
      <c r="AG72" s="2">
        <f>'[319]Part 12 - 13 - Deemed Default'!$V$6</f>
        <v>900000</v>
      </c>
      <c r="AH72" s="8">
        <f t="shared" ref="AH72" si="851">+AG72/$AG$4</f>
        <v>1</v>
      </c>
      <c r="AI72" s="8">
        <f t="shared" ref="AI72" si="852">+AB72/D72</f>
        <v>0.79978163027167648</v>
      </c>
      <c r="AJ72" s="2">
        <f>'[319]Part 5 - 7'!$C$45</f>
        <v>249126.71005625001</v>
      </c>
      <c r="AK72" s="4">
        <f t="shared" ref="AK72" si="853">((+D72+AJ72)-AB72)/D72</f>
        <v>0.20879868666522683</v>
      </c>
      <c r="AL72" s="4">
        <f t="shared" ref="AL72" si="854">+S72/$D72</f>
        <v>0.95209023176177776</v>
      </c>
      <c r="AM72" s="4">
        <f t="shared" ref="AM72" si="855">+T72/$D72</f>
        <v>2.336890837644787E-2</v>
      </c>
      <c r="AN72" s="4">
        <f t="shared" ref="AN72" si="856">+U72/$D72</f>
        <v>6.1085389302820287E-3</v>
      </c>
      <c r="AO72" s="4">
        <f t="shared" ref="AO72" si="857">+V72/$D72</f>
        <v>1.9359121744287862E-3</v>
      </c>
      <c r="AP72" s="4">
        <f t="shared" ref="AP72" si="858">+W72/$D72</f>
        <v>3.2376061161282009E-3</v>
      </c>
      <c r="AQ72" s="4">
        <f t="shared" ref="AQ72" si="859">+X72/$D72</f>
        <v>4.8551052160612849E-4</v>
      </c>
      <c r="AR72" s="4">
        <f t="shared" ref="AR72" si="860">+Y72/$D72</f>
        <v>4.6150060897290075E-4</v>
      </c>
    </row>
    <row r="73" spans="1:44" x14ac:dyDescent="0.25">
      <c r="A73">
        <f t="shared" si="16"/>
        <v>69</v>
      </c>
      <c r="B73" s="3">
        <f t="shared" si="30"/>
        <v>44779</v>
      </c>
      <c r="C73" s="41">
        <f>'[320]Part 1'!$C$17</f>
        <v>940</v>
      </c>
      <c r="D73" s="2">
        <f>'[320]Part 1'!$C$21</f>
        <v>28687929.579999998</v>
      </c>
      <c r="E73" s="44">
        <v>7.49</v>
      </c>
      <c r="F73" s="8">
        <f t="shared" ref="F73" si="861">+D73/D$4</f>
        <v>0.63750924999292402</v>
      </c>
      <c r="G73" s="2">
        <f>'[320]Part 2 - 3'!$C$49</f>
        <v>154602.12</v>
      </c>
      <c r="N73" s="6">
        <f t="shared" ref="N73" si="862">+G73/D72</f>
        <v>5.3247409256825225E-3</v>
      </c>
      <c r="O73" s="6">
        <f t="shared" ref="O73" si="863">1-(+N73-1)^12</f>
        <v>6.2058421169616906E-2</v>
      </c>
      <c r="P73" s="27">
        <f t="shared" ref="P73" si="864">AVERAGE(O71:O73)</f>
        <v>4.0037756340128516E-2</v>
      </c>
      <c r="Q73" s="27">
        <f t="shared" ref="Q73" si="865">AVERAGE(O68:O73)</f>
        <v>3.9210645686334554E-2</v>
      </c>
      <c r="R73" s="27">
        <f t="shared" ref="R73" si="866">AVERAGE(O62:O73)</f>
        <v>3.5480442874082814E-2</v>
      </c>
      <c r="S73" s="26">
        <f>'[320]Part 8 - 11'!$C$3</f>
        <v>27201828.280000001</v>
      </c>
      <c r="T73" s="26">
        <f>'[320]Part 8 - 11'!$D$3</f>
        <v>651814.09</v>
      </c>
      <c r="U73" s="26">
        <f>'[320]Part 8 - 11'!$E$3</f>
        <v>320208.14</v>
      </c>
      <c r="V73" s="26">
        <f>'[320]Part 8 - 11'!$F$3</f>
        <v>92943.58</v>
      </c>
      <c r="W73" s="26">
        <f>'[320]Part 8 - 11'!$G$3</f>
        <v>84728.05</v>
      </c>
      <c r="X73" s="26">
        <f>'[320]Part 8 - 11'!$I$3</f>
        <v>17755.07</v>
      </c>
      <c r="Y73" s="26">
        <f>'[320]Part 8 - 11'!$M$13</f>
        <v>0</v>
      </c>
      <c r="Z73" s="26">
        <f t="shared" ref="Z73" si="867">+Z72+Y73</f>
        <v>866050.73999999987</v>
      </c>
      <c r="AA73" s="4">
        <f t="shared" ref="AA73" si="868">+Z73/$D$4</f>
        <v>1.9245563057228365E-2</v>
      </c>
      <c r="AB73" s="2">
        <f>'[320]Part 12 - 13 - Deemed Default'!$V$4</f>
        <v>22926870.380000003</v>
      </c>
      <c r="AC73" s="4">
        <f t="shared" ref="AC73" si="869">+AB73/AB$4</f>
        <v>0.57896137323232333</v>
      </c>
      <c r="AD73" s="2">
        <f t="shared" ref="AD73" si="870">+AB73*$AD$2</f>
        <v>19539946.34659091</v>
      </c>
      <c r="AE73" s="2">
        <f>'[320]Part 12 - 13 - Deemed Default'!$V$5</f>
        <v>2292899.8399999989</v>
      </c>
      <c r="AF73" s="8">
        <f t="shared" ref="AF73" si="871">+AE73/$AE$4</f>
        <v>0.50953329777777756</v>
      </c>
      <c r="AG73" s="2">
        <f>'[320]Part 12 - 13 - Deemed Default'!$V$6</f>
        <v>900000</v>
      </c>
      <c r="AH73" s="8">
        <f t="shared" ref="AH73" si="872">+AG73/$AG$4</f>
        <v>1</v>
      </c>
      <c r="AI73" s="8">
        <f t="shared" ref="AI73" si="873">+AB73/D73</f>
        <v>0.79918177141593516</v>
      </c>
      <c r="AJ73" s="2">
        <f>'[320]Part 5 - 7'!$C$45</f>
        <v>246727.36830625002</v>
      </c>
      <c r="AK73" s="4">
        <f t="shared" ref="AK73" si="874">((+D73+AJ73)-AB73)/D73</f>
        <v>0.20941861808300791</v>
      </c>
      <c r="AL73" s="4">
        <f t="shared" ref="AL73" si="875">+S73/$D73</f>
        <v>0.94819768028725071</v>
      </c>
      <c r="AM73" s="4">
        <f t="shared" ref="AM73" si="876">+T73/$D73</f>
        <v>2.2720848089867629E-2</v>
      </c>
      <c r="AN73" s="4">
        <f t="shared" ref="AN73" si="877">+U73/$D73</f>
        <v>1.11617723791136E-2</v>
      </c>
      <c r="AO73" s="4">
        <f t="shared" ref="AO73" si="878">+V73/$D73</f>
        <v>3.2398148406219008E-3</v>
      </c>
      <c r="AP73" s="4">
        <f t="shared" ref="AP73" si="879">+W73/$D73</f>
        <v>2.9534389982283278E-3</v>
      </c>
      <c r="AQ73" s="4">
        <f t="shared" ref="AQ73" si="880">+X73/$D73</f>
        <v>6.1890384771364187E-4</v>
      </c>
      <c r="AR73" s="4">
        <f t="shared" ref="AR73" si="881">+Y73/$D73</f>
        <v>0</v>
      </c>
    </row>
    <row r="74" spans="1:44" x14ac:dyDescent="0.25">
      <c r="A74">
        <f t="shared" si="16"/>
        <v>70</v>
      </c>
      <c r="B74" s="3">
        <f t="shared" si="30"/>
        <v>44810</v>
      </c>
      <c r="C74" s="41">
        <f>'[321]Part 1'!$C$17</f>
        <v>933</v>
      </c>
      <c r="D74" s="2">
        <f>'[321]Part 1'!$C$21</f>
        <v>28427276.420000002</v>
      </c>
      <c r="E74" s="44">
        <v>7.49</v>
      </c>
      <c r="F74" s="8">
        <f t="shared" ref="F74" si="882">+D74/D$4</f>
        <v>0.63171696023996371</v>
      </c>
      <c r="G74" s="2">
        <f>'[321]Part 2 - 3'!$C$49</f>
        <v>124706.26</v>
      </c>
      <c r="N74" s="6">
        <f t="shared" ref="N74" si="883">+G74/D73</f>
        <v>4.3469940781972602E-3</v>
      </c>
      <c r="O74" s="6">
        <f t="shared" ref="O74" si="884">1-(+N74-1)^12</f>
        <v>5.0934665132570056E-2</v>
      </c>
      <c r="P74" s="27">
        <f t="shared" ref="P74" si="885">AVERAGE(O72:O74)</f>
        <v>5.0597776682078877E-2</v>
      </c>
      <c r="Q74" s="27">
        <f t="shared" ref="Q74" si="886">AVERAGE(O69:O74)</f>
        <v>3.9636929356976547E-2</v>
      </c>
      <c r="R74" s="27">
        <f t="shared" ref="R74" si="887">AVERAGE(O63:O74)</f>
        <v>3.7243885592953656E-2</v>
      </c>
      <c r="S74" s="26">
        <f>'[321]Part 8 - 11'!$C$3</f>
        <v>27103062.559999999</v>
      </c>
      <c r="T74" s="26">
        <f>'[321]Part 8 - 11'!$D$3</f>
        <v>530913.94999999995</v>
      </c>
      <c r="U74" s="26">
        <f>'[321]Part 8 - 11'!$E$3</f>
        <v>170805.59</v>
      </c>
      <c r="V74" s="26">
        <f>'[321]Part 8 - 11'!$F$3</f>
        <v>172946.19</v>
      </c>
      <c r="W74" s="26">
        <f>'[321]Part 8 - 11'!$G$3</f>
        <v>130895.76</v>
      </c>
      <c r="X74" s="26">
        <f>'[321]Part 8 - 11'!$I$3</f>
        <v>0</v>
      </c>
      <c r="Y74" s="26">
        <f>'[321]Part 8 - 11'!$M$13</f>
        <v>0</v>
      </c>
      <c r="Z74" s="26">
        <f t="shared" ref="Z74" si="888">+Z73+Y74</f>
        <v>866050.73999999987</v>
      </c>
      <c r="AA74" s="4">
        <f t="shared" ref="AA74" si="889">+Z74/$D$4</f>
        <v>1.9245563057228365E-2</v>
      </c>
      <c r="AB74" s="2">
        <f>'[321]Part 12 - 13 - Deemed Default'!$V$4</f>
        <v>22666217.220000003</v>
      </c>
      <c r="AC74" s="4">
        <f t="shared" ref="AC74" si="890">+AB74/AB$4</f>
        <v>0.57237922272727282</v>
      </c>
      <c r="AD74" s="2">
        <f t="shared" ref="AD74" si="891">+AB74*$AD$2</f>
        <v>19317798.767045457</v>
      </c>
      <c r="AE74" s="2">
        <f>'[321]Part 12 - 13 - Deemed Default'!$V$5</f>
        <v>2246906.0299999989</v>
      </c>
      <c r="AF74" s="8">
        <f t="shared" ref="AF74" si="892">+AE74/$AE$4</f>
        <v>0.49931245111111083</v>
      </c>
      <c r="AG74" s="2">
        <f>'[321]Part 12 - 13 - Deemed Default'!$V$6</f>
        <v>900000</v>
      </c>
      <c r="AH74" s="8">
        <f t="shared" ref="AH74" si="893">+AG74/$AG$4</f>
        <v>1</v>
      </c>
      <c r="AI74" s="8">
        <f t="shared" ref="AI74" si="894">+AB74/D74</f>
        <v>0.79734044461794418</v>
      </c>
      <c r="AJ74" s="2">
        <f>'[321]Part 5 - 7'!$C$45</f>
        <v>243597.99778750003</v>
      </c>
      <c r="AK74" s="4">
        <f t="shared" ref="AK74" si="895">((+D74+AJ74)-AB74)/D74</f>
        <v>0.21122871952526998</v>
      </c>
      <c r="AL74" s="4">
        <f t="shared" ref="AL74" si="896">+S74/$D74</f>
        <v>0.95341749098874795</v>
      </c>
      <c r="AM74" s="4">
        <f t="shared" ref="AM74" si="897">+T74/$D74</f>
        <v>1.8676215834256833E-2</v>
      </c>
      <c r="AN74" s="4">
        <f t="shared" ref="AN74" si="898">+U74/$D74</f>
        <v>6.0085105402440091E-3</v>
      </c>
      <c r="AO74" s="4">
        <f t="shared" ref="AO74" si="899">+V74/$D74</f>
        <v>6.0838114578688155E-3</v>
      </c>
      <c r="AP74" s="4">
        <f t="shared" ref="AP74" si="900">+W74/$D74</f>
        <v>4.6045832202169156E-3</v>
      </c>
      <c r="AQ74" s="4">
        <f t="shared" ref="AQ74" si="901">+X74/$D74</f>
        <v>0</v>
      </c>
      <c r="AR74" s="4">
        <f t="shared" ref="AR74" si="902">+Y74/$D74</f>
        <v>0</v>
      </c>
    </row>
    <row r="75" spans="1:44" x14ac:dyDescent="0.25">
      <c r="A75">
        <f t="shared" si="16"/>
        <v>71</v>
      </c>
      <c r="B75" s="3">
        <f t="shared" si="30"/>
        <v>44841</v>
      </c>
      <c r="C75" s="41">
        <v>929</v>
      </c>
      <c r="D75" s="2">
        <v>28165290.670000002</v>
      </c>
      <c r="E75" s="44">
        <v>7.49</v>
      </c>
      <c r="F75" s="8">
        <f t="shared" ref="F75" si="903">+D75/D$4</f>
        <v>0.62589505738965234</v>
      </c>
      <c r="G75" s="2">
        <v>81831.55</v>
      </c>
      <c r="N75" s="6">
        <f t="shared" ref="N75" si="904">+G75/D74</f>
        <v>2.8786278639914811E-3</v>
      </c>
      <c r="O75" s="6">
        <f t="shared" ref="O75" si="905">1-(+N75-1)^12</f>
        <v>3.40018394651177E-2</v>
      </c>
      <c r="P75" s="27">
        <f t="shared" ref="P75" si="906">AVERAGE(O73:O75)</f>
        <v>4.8998308589101557E-2</v>
      </c>
      <c r="Q75" s="27">
        <f t="shared" ref="Q75" si="907">AVERAGE(O70:O75)</f>
        <v>3.6475090619763173E-2</v>
      </c>
      <c r="R75" s="27">
        <f t="shared" ref="R75" si="908">AVERAGE(O64:O75)</f>
        <v>3.5244642564649174E-2</v>
      </c>
      <c r="S75" s="26">
        <v>26835741.98</v>
      </c>
      <c r="T75" s="26">
        <v>478770.01</v>
      </c>
      <c r="U75" s="26">
        <v>288951.48</v>
      </c>
      <c r="V75" s="26">
        <v>87849.64</v>
      </c>
      <c r="W75" s="26">
        <v>91335.360000000001</v>
      </c>
      <c r="X75" s="26">
        <v>94653.759999999995</v>
      </c>
      <c r="Y75" s="26">
        <f>'[321]Part 8 - 11'!$M$13</f>
        <v>0</v>
      </c>
      <c r="Z75" s="26">
        <f t="shared" ref="Z75" si="909">+Z74+Y75</f>
        <v>866050.73999999987</v>
      </c>
      <c r="AA75" s="4">
        <f t="shared" ref="AA75" si="910">+Z75/$D$4</f>
        <v>1.9245563057228365E-2</v>
      </c>
      <c r="AB75" s="2">
        <v>22434805.399999999</v>
      </c>
      <c r="AC75" s="4">
        <f t="shared" ref="AC75" si="911">+AB75/AB$4</f>
        <v>0.56653548989898983</v>
      </c>
      <c r="AD75" s="2">
        <f t="shared" ref="AD75" si="912">+AB75*$AD$2</f>
        <v>19120572.78409091</v>
      </c>
      <c r="AE75" s="2">
        <v>2185223.2599999998</v>
      </c>
      <c r="AF75" s="8">
        <f t="shared" ref="AF75" si="913">+AE75/$AE$4</f>
        <v>0.48560516888888883</v>
      </c>
      <c r="AG75" s="2">
        <v>900000</v>
      </c>
      <c r="AH75" s="8">
        <f t="shared" ref="AH75" si="914">+AG75/$AG$4</f>
        <v>1</v>
      </c>
      <c r="AI75" s="8">
        <f t="shared" ref="AI75" si="915">+AB75/D75</f>
        <v>0.79654087944124163</v>
      </c>
      <c r="AJ75" s="2">
        <v>226662.17</v>
      </c>
      <c r="AK75" s="4">
        <f t="shared" ref="AK75" si="916">((+D75+AJ75)-AB75)/D75</f>
        <v>0.21150669133144098</v>
      </c>
      <c r="AL75" s="4">
        <f t="shared" ref="AL75" si="917">+S75/$D75</f>
        <v>0.95279478186191213</v>
      </c>
      <c r="AM75" s="4">
        <f t="shared" ref="AM75" si="918">+T75/$D75</f>
        <v>1.6998582248254852E-2</v>
      </c>
      <c r="AN75" s="4">
        <f t="shared" ref="AN75" si="919">+U75/$D75</f>
        <v>1.0259133604744721E-2</v>
      </c>
      <c r="AO75" s="4">
        <f t="shared" ref="AO75" si="920">+V75/$D75</f>
        <v>3.1190745030574897E-3</v>
      </c>
      <c r="AP75" s="4">
        <f t="shared" ref="AP75" si="921">+W75/$D75</f>
        <v>3.242833921727817E-3</v>
      </c>
      <c r="AQ75" s="4">
        <f t="shared" ref="AQ75" si="922">+X75/$D75</f>
        <v>3.3606526951564385E-3</v>
      </c>
      <c r="AR75" s="4">
        <f t="shared" ref="AR75" si="923">+Y75/$D75</f>
        <v>0</v>
      </c>
    </row>
    <row r="76" spans="1:44" x14ac:dyDescent="0.25">
      <c r="A76">
        <f t="shared" si="16"/>
        <v>72</v>
      </c>
      <c r="B76" s="3">
        <f t="shared" si="30"/>
        <v>44872</v>
      </c>
      <c r="C76" s="41">
        <v>927</v>
      </c>
      <c r="D76" s="2">
        <v>28052063.84</v>
      </c>
      <c r="E76" s="44">
        <v>7.49</v>
      </c>
      <c r="F76" s="8">
        <f t="shared" ref="F76" si="924">+D76/D$4</f>
        <v>0.62337890678104579</v>
      </c>
      <c r="G76" s="2">
        <v>14825.7</v>
      </c>
      <c r="N76" s="6">
        <f t="shared" ref="N76" si="925">+G76/D75</f>
        <v>5.2638192780277105E-4</v>
      </c>
      <c r="O76" s="6">
        <f t="shared" ref="O76" si="926">1-(+N76-1)^12</f>
        <v>6.2983280387636231E-3</v>
      </c>
      <c r="P76" s="27">
        <f t="shared" ref="P76" si="927">AVERAGE(O74:O76)</f>
        <v>3.0411610878817125E-2</v>
      </c>
      <c r="Q76" s="27">
        <f t="shared" ref="Q76" si="928">AVERAGE(O71:O76)</f>
        <v>3.5224683609472819E-2</v>
      </c>
      <c r="R76" s="27">
        <f t="shared" ref="R76" si="929">AVERAGE(O65:O76)</f>
        <v>3.3983434201062625E-2</v>
      </c>
      <c r="S76" s="26">
        <v>26695416.239999998</v>
      </c>
      <c r="T76" s="26">
        <v>369531.05</v>
      </c>
      <c r="U76" s="26">
        <v>313645.64</v>
      </c>
      <c r="V76" s="26">
        <v>196033.93</v>
      </c>
      <c r="W76" s="26">
        <v>94794.78</v>
      </c>
      <c r="X76" s="26">
        <v>57273.13</v>
      </c>
      <c r="Y76" s="26">
        <v>37290.629999999997</v>
      </c>
      <c r="Z76" s="26">
        <f t="shared" ref="Z76" si="930">+Z75+Y76</f>
        <v>903341.36999999988</v>
      </c>
      <c r="AA76" s="4">
        <f t="shared" ref="AA76" si="931">+Z76/$D$4</f>
        <v>2.0074243338834927E-2</v>
      </c>
      <c r="AB76" s="2">
        <v>22364769.82</v>
      </c>
      <c r="AC76" s="4">
        <f t="shared" ref="AC76" si="932">+AB76/AB$4</f>
        <v>0.56476691464646467</v>
      </c>
      <c r="AD76" s="2">
        <f t="shared" ref="AD76" si="933">+AB76*$AD$2</f>
        <v>19060883.369318184</v>
      </c>
      <c r="AE76" s="2">
        <v>2185223.2599999998</v>
      </c>
      <c r="AF76" s="8">
        <f t="shared" ref="AF76" si="934">+AE76/$AE$4</f>
        <v>0.48560516888888883</v>
      </c>
      <c r="AG76" s="2">
        <v>900000</v>
      </c>
      <c r="AH76" s="8">
        <f t="shared" ref="AH76" si="935">+AG76/$AG$4</f>
        <v>1</v>
      </c>
      <c r="AI76" s="8">
        <f t="shared" ref="AI76" si="936">+AB76/D76</f>
        <v>0.79725933705133045</v>
      </c>
      <c r="AJ76" s="2">
        <v>224348.05</v>
      </c>
      <c r="AK76" s="4">
        <f t="shared" ref="AK76" si="937">((+D76+AJ76)-AB76)/D76</f>
        <v>0.21073822246085408</v>
      </c>
      <c r="AL76" s="4">
        <f t="shared" ref="AL76" si="938">+S76/$D76</f>
        <v>0.95163822498986583</v>
      </c>
      <c r="AM76" s="4">
        <f t="shared" ref="AM76" si="939">+T76/$D76</f>
        <v>1.3173043242297141E-2</v>
      </c>
      <c r="AN76" s="4">
        <f t="shared" ref="AN76" si="940">+U76/$D76</f>
        <v>1.11808400903739E-2</v>
      </c>
      <c r="AO76" s="4">
        <f t="shared" ref="AO76" si="941">+V76/$D76</f>
        <v>6.9882177339291264E-3</v>
      </c>
      <c r="AP76" s="4">
        <f t="shared" ref="AP76" si="942">+W76/$D76</f>
        <v>3.3792444128417469E-3</v>
      </c>
      <c r="AQ76" s="4">
        <f t="shared" ref="AQ76" si="943">+X76/$D76</f>
        <v>2.0416725958798472E-3</v>
      </c>
      <c r="AR76" s="4">
        <f t="shared" ref="AR76" si="944">+Y76/$D76</f>
        <v>1.3293364157694002E-3</v>
      </c>
    </row>
    <row r="77" spans="1:44" x14ac:dyDescent="0.25">
      <c r="A77">
        <f t="shared" si="16"/>
        <v>73</v>
      </c>
      <c r="B77" s="3">
        <f t="shared" si="30"/>
        <v>44903</v>
      </c>
      <c r="C77" s="41">
        <v>913</v>
      </c>
      <c r="D77" s="2">
        <v>27685206.640000001</v>
      </c>
      <c r="E77" s="44">
        <v>7.49</v>
      </c>
      <c r="F77" s="8">
        <f t="shared" ref="F77" si="945">+D77/D$4</f>
        <v>0.61522652834696212</v>
      </c>
      <c r="G77" s="2">
        <v>170392.86</v>
      </c>
      <c r="N77" s="6">
        <f t="shared" ref="N77" si="946">+G77/D76</f>
        <v>6.0741648447638777E-3</v>
      </c>
      <c r="O77" s="6">
        <f t="shared" ref="O77" si="947">1-(+N77-1)^12</f>
        <v>7.0503513251044092E-2</v>
      </c>
      <c r="P77" s="27">
        <f t="shared" ref="P77" si="948">AVERAGE(O75:O77)</f>
        <v>3.6934560251641803E-2</v>
      </c>
      <c r="Q77" s="27">
        <f t="shared" ref="Q77" si="949">AVERAGE(O72:O77)</f>
        <v>4.3766168466860343E-2</v>
      </c>
      <c r="R77" s="27">
        <f t="shared" ref="R77" si="950">AVERAGE(O66:O77)</f>
        <v>3.6920284913757706E-2</v>
      </c>
      <c r="S77" s="26">
        <v>26120262.670000002</v>
      </c>
      <c r="T77" s="26">
        <v>577034.71</v>
      </c>
      <c r="U77" s="26">
        <v>251495.95</v>
      </c>
      <c r="V77" s="26">
        <v>244918.38</v>
      </c>
      <c r="W77" s="26">
        <v>145581.44</v>
      </c>
      <c r="X77" s="26">
        <v>69035.070000000007</v>
      </c>
      <c r="Y77" s="26">
        <v>0</v>
      </c>
      <c r="Z77" s="26">
        <f t="shared" ref="Z77" si="951">+Z76+Y77</f>
        <v>903341.36999999988</v>
      </c>
      <c r="AA77" s="4">
        <f t="shared" ref="AA77" si="952">+Z77/$D$4</f>
        <v>2.0074243338834927E-2</v>
      </c>
      <c r="AB77" s="2">
        <v>21965921.390000001</v>
      </c>
      <c r="AC77" s="4">
        <f t="shared" ref="AC77" si="953">+AB77/AB$4</f>
        <v>0.55469498459595956</v>
      </c>
      <c r="AD77" s="2">
        <f t="shared" ref="AD77" si="954">+AB77*$AD$2</f>
        <v>18720955.730113637</v>
      </c>
      <c r="AE77" s="2">
        <v>2141585.69</v>
      </c>
      <c r="AF77" s="8">
        <f t="shared" ref="AF77" si="955">+AE77/$AE$4</f>
        <v>0.47590793111111107</v>
      </c>
      <c r="AG77" s="2">
        <v>900000</v>
      </c>
      <c r="AH77" s="8">
        <f t="shared" ref="AH77" si="956">+AG77/$AG$4</f>
        <v>1</v>
      </c>
      <c r="AI77" s="8">
        <f t="shared" ref="AI77" si="957">+AB77/D77</f>
        <v>0.79341728149730728</v>
      </c>
      <c r="AJ77" s="2">
        <v>223647.7</v>
      </c>
      <c r="AK77" s="4">
        <f t="shared" ref="AK77" si="958">((+D77+AJ77)-AB77)/D77</f>
        <v>0.2146609569246834</v>
      </c>
      <c r="AL77" s="4">
        <f t="shared" ref="AL77" si="959">+S77/$D77</f>
        <v>0.94347363953791319</v>
      </c>
      <c r="AM77" s="4">
        <f t="shared" ref="AM77" si="960">+T77/$D77</f>
        <v>2.0842709158843394E-2</v>
      </c>
      <c r="AN77" s="4">
        <f t="shared" ref="AN77" si="961">+U77/$D77</f>
        <v>9.0841276090254976E-3</v>
      </c>
      <c r="AO77" s="4">
        <f t="shared" ref="AO77" si="962">+V77/$D77</f>
        <v>8.8465433249155616E-3</v>
      </c>
      <c r="AP77" s="4">
        <f t="shared" ref="AP77" si="963">+W77/$D77</f>
        <v>5.2584559650590348E-3</v>
      </c>
      <c r="AQ77" s="4">
        <f t="shared" ref="AQ77" si="964">+X77/$D77</f>
        <v>2.4935725023723359E-3</v>
      </c>
      <c r="AR77" s="4">
        <f t="shared" ref="AR77" si="965">+Y77/$D77</f>
        <v>0</v>
      </c>
    </row>
    <row r="78" spans="1:44" x14ac:dyDescent="0.25">
      <c r="A78">
        <f t="shared" si="16"/>
        <v>74</v>
      </c>
      <c r="B78" s="3">
        <f t="shared" si="30"/>
        <v>44934</v>
      </c>
      <c r="C78" s="41">
        <v>903</v>
      </c>
      <c r="D78" s="2">
        <v>27378108.579999998</v>
      </c>
      <c r="E78" s="44">
        <v>7.48</v>
      </c>
      <c r="F78" s="8">
        <f t="shared" ref="F78" si="966">+D78/D$4</f>
        <v>0.60840213018469902</v>
      </c>
      <c r="G78" s="2">
        <v>121628.99</v>
      </c>
      <c r="N78" s="6">
        <f t="shared" ref="N78" si="967">+G78/D77</f>
        <v>4.3932845285058709E-3</v>
      </c>
      <c r="O78" s="6">
        <f t="shared" ref="O78" si="968">1-(+N78-1)^12</f>
        <v>5.1464023403661963E-2</v>
      </c>
      <c r="P78" s="27">
        <f t="shared" ref="P78" si="969">AVERAGE(O76:O78)</f>
        <v>4.2755288231156562E-2</v>
      </c>
      <c r="Q78" s="27">
        <f t="shared" ref="Q78" si="970">AVERAGE(O73:O78)</f>
        <v>4.5876798410129059E-2</v>
      </c>
      <c r="R78" s="27">
        <f t="shared" ref="R78" si="971">AVERAGE(O67:O78)</f>
        <v>3.82315042614687E-2</v>
      </c>
      <c r="S78" s="26">
        <v>26093206.170000002</v>
      </c>
      <c r="T78" s="26">
        <v>318451.83</v>
      </c>
      <c r="U78" s="26">
        <v>336253.47</v>
      </c>
      <c r="V78" s="26">
        <v>143515.96</v>
      </c>
      <c r="W78" s="26">
        <v>127159.07</v>
      </c>
      <c r="X78" s="26">
        <v>96405.64</v>
      </c>
      <c r="Y78" s="26">
        <v>11761.94</v>
      </c>
      <c r="Z78" s="26">
        <f t="shared" ref="Z78" si="972">+Z77+Y78</f>
        <v>915103.30999999982</v>
      </c>
      <c r="AA78" s="4">
        <f t="shared" ref="AA78" si="973">+Z78/$D$4</f>
        <v>2.0335619661826506E-2</v>
      </c>
      <c r="AB78" s="2">
        <v>21672585.34</v>
      </c>
      <c r="AC78" s="4">
        <f t="shared" ref="AC78" si="974">+AB78/AB$4</f>
        <v>0.54728750858585862</v>
      </c>
      <c r="AD78" s="2">
        <f t="shared" ref="AD78" si="975">+AB78*$AD$2</f>
        <v>18470953.414772727</v>
      </c>
      <c r="AE78" s="2">
        <v>2040539.25</v>
      </c>
      <c r="AF78" s="8">
        <f t="shared" ref="AF78" si="976">+AE78/$AE$4</f>
        <v>0.45345316666666668</v>
      </c>
      <c r="AG78" s="2">
        <v>900000</v>
      </c>
      <c r="AH78" s="8">
        <f t="shared" ref="AH78" si="977">+AG78/$AG$4</f>
        <v>1</v>
      </c>
      <c r="AI78" s="8">
        <f t="shared" ref="AI78" si="978">+AB78/D78</f>
        <v>0.79160272436906232</v>
      </c>
      <c r="AJ78" s="2">
        <f t="shared" ref="AJ78:AJ83" si="979">AB77*1%</f>
        <v>219659.2139</v>
      </c>
      <c r="AK78" s="4">
        <f t="shared" ref="AK78" si="980">((+D78+AJ78)-AB78)/D78</f>
        <v>0.21642044542947014</v>
      </c>
      <c r="AL78" s="4">
        <f t="shared" ref="AL78" si="981">+S78/$D78</f>
        <v>0.95306825501676062</v>
      </c>
      <c r="AM78" s="4">
        <f t="shared" ref="AM78" si="982">+T78/$D78</f>
        <v>1.1631622727679314E-2</v>
      </c>
      <c r="AN78" s="4">
        <f t="shared" ref="AN78" si="983">+U78/$D78</f>
        <v>1.2281837111480986E-2</v>
      </c>
      <c r="AO78" s="4">
        <f t="shared" ref="AO78" si="984">+V78/$D78</f>
        <v>5.2419968888880782E-3</v>
      </c>
      <c r="AP78" s="4">
        <f t="shared" ref="AP78" si="985">+W78/$D78</f>
        <v>4.6445527684440217E-3</v>
      </c>
      <c r="AQ78" s="4">
        <f t="shared" ref="AQ78" si="986">+X78/$D78</f>
        <v>3.5212673555698203E-3</v>
      </c>
      <c r="AR78" s="4">
        <f t="shared" ref="AR78" si="987">+Y78/$D78</f>
        <v>4.2961112399825252E-4</v>
      </c>
    </row>
    <row r="79" spans="1:44" x14ac:dyDescent="0.25">
      <c r="A79">
        <f t="shared" si="16"/>
        <v>75</v>
      </c>
      <c r="B79" s="3">
        <f t="shared" si="30"/>
        <v>44965</v>
      </c>
      <c r="C79" s="41">
        <v>901</v>
      </c>
      <c r="D79" s="2">
        <v>27266297.75</v>
      </c>
      <c r="E79" s="44">
        <v>7.48</v>
      </c>
      <c r="F79" s="8">
        <f t="shared" ref="F79" si="988">+D79/D$4</f>
        <v>0.60591744622813781</v>
      </c>
      <c r="G79" s="2">
        <v>313.16000000000003</v>
      </c>
      <c r="N79" s="6">
        <f t="shared" ref="N79" si="989">+G79/D78</f>
        <v>1.1438335818010699E-5</v>
      </c>
      <c r="O79" s="6">
        <f t="shared" ref="O79" si="990">1-(+N79-1)^12</f>
        <v>1.3725139499976002E-4</v>
      </c>
      <c r="P79" s="27">
        <f t="shared" ref="P79" si="991">AVERAGE(O77:O79)</f>
        <v>4.0701596016568607E-2</v>
      </c>
      <c r="Q79" s="27">
        <f t="shared" ref="Q79" si="992">AVERAGE(O74:O79)</f>
        <v>3.5556603447692868E-2</v>
      </c>
      <c r="R79" s="27">
        <f t="shared" ref="R79" si="993">AVERAGE(O68:O79)</f>
        <v>3.7383624567013711E-2</v>
      </c>
      <c r="S79" s="26">
        <v>26009918.16</v>
      </c>
      <c r="T79" s="26">
        <v>462825.32</v>
      </c>
      <c r="U79" s="26">
        <v>272148.32</v>
      </c>
      <c r="V79" s="26">
        <v>69709.11</v>
      </c>
      <c r="W79" s="26">
        <v>30005.84</v>
      </c>
      <c r="X79" s="26">
        <v>101301.46</v>
      </c>
      <c r="Y79" s="26">
        <v>57273.13</v>
      </c>
      <c r="Z79" s="26">
        <f t="shared" ref="Z79" si="994">+Z78+Y79</f>
        <v>972376.43999999983</v>
      </c>
      <c r="AA79" s="4">
        <f t="shared" ref="AA79" si="995">+Z79/$D$4</f>
        <v>2.1608355292650906E-2</v>
      </c>
      <c r="AB79" s="2">
        <v>21503501.379999999</v>
      </c>
      <c r="AC79" s="4">
        <f t="shared" ref="AC79" si="996">+AB79/AB$4</f>
        <v>0.54301771161616164</v>
      </c>
      <c r="AD79" s="2">
        <f t="shared" ref="AD79" si="997">+AB79*$AD$2</f>
        <v>18326847.767045453</v>
      </c>
      <c r="AE79" s="2">
        <v>2040539.25</v>
      </c>
      <c r="AF79" s="8">
        <f t="shared" ref="AF79" si="998">+AE79/$AE$4</f>
        <v>0.45345316666666668</v>
      </c>
      <c r="AG79" s="2">
        <v>900000</v>
      </c>
      <c r="AH79" s="8">
        <f t="shared" ref="AH79" si="999">+AG79/$AG$4</f>
        <v>1</v>
      </c>
      <c r="AI79" s="8">
        <f t="shared" ref="AI79" si="1000">+AB79/D79</f>
        <v>0.78864764029065881</v>
      </c>
      <c r="AJ79" s="2">
        <f t="shared" si="979"/>
        <v>216725.85339999999</v>
      </c>
      <c r="AK79" s="4">
        <f t="shared" ref="AK79" si="1001">((+D79+AJ79)-AB79)/D79</f>
        <v>0.21930084818354192</v>
      </c>
      <c r="AL79" s="4">
        <f t="shared" ref="AL79" si="1002">+S79/$D79</f>
        <v>0.95392188548956924</v>
      </c>
      <c r="AM79" s="4">
        <f t="shared" ref="AM79" si="1003">+T79/$D79</f>
        <v>1.6974263401785084E-2</v>
      </c>
      <c r="AN79" s="4">
        <f t="shared" ref="AN79" si="1004">+U79/$D79</f>
        <v>9.981124775181479E-3</v>
      </c>
      <c r="AO79" s="4">
        <f t="shared" ref="AO79" si="1005">+V79/$D79</f>
        <v>2.5566034171250842E-3</v>
      </c>
      <c r="AP79" s="4">
        <f t="shared" ref="AP79" si="1006">+W79/$D79</f>
        <v>1.1004735690601779E-3</v>
      </c>
      <c r="AQ79" s="4">
        <f t="shared" ref="AQ79" si="1007">+X79/$D79</f>
        <v>3.715262736760806E-3</v>
      </c>
      <c r="AR79" s="4">
        <f t="shared" ref="AR79" si="1008">+Y79/$D79</f>
        <v>2.1005099601393443E-3</v>
      </c>
    </row>
    <row r="80" spans="1:44" x14ac:dyDescent="0.25">
      <c r="A80">
        <f t="shared" si="16"/>
        <v>76</v>
      </c>
      <c r="B80" s="3">
        <f t="shared" si="30"/>
        <v>44996</v>
      </c>
      <c r="C80" s="41">
        <v>898</v>
      </c>
      <c r="D80" s="2">
        <v>27071901.510000002</v>
      </c>
      <c r="E80" s="44">
        <v>7.48</v>
      </c>
      <c r="F80" s="8">
        <f t="shared" ref="F80" si="1009">+D80/D$4</f>
        <v>0.60159753179101361</v>
      </c>
      <c r="G80" s="2">
        <v>81217.600000000006</v>
      </c>
      <c r="N80" s="6">
        <f t="shared" ref="N80" si="1010">+G80/D79</f>
        <v>2.9786808882038269E-3</v>
      </c>
      <c r="O80" s="6">
        <f t="shared" ref="O80" si="1011">1-(+N80-1)^12</f>
        <v>3.5164358509380822E-2</v>
      </c>
      <c r="P80" s="27">
        <f t="shared" ref="P80" si="1012">AVERAGE(O78:O80)</f>
        <v>2.8921877769347515E-2</v>
      </c>
      <c r="Q80" s="27">
        <f t="shared" ref="Q80" si="1013">AVERAGE(O75:O80)</f>
        <v>3.2928219010494662E-2</v>
      </c>
      <c r="R80" s="27">
        <f t="shared" ref="R80" si="1014">AVERAGE(O69:O80)</f>
        <v>3.6282574183735601E-2</v>
      </c>
      <c r="S80" s="26">
        <v>25603791.079999998</v>
      </c>
      <c r="T80" s="26">
        <v>506391.96</v>
      </c>
      <c r="U80" s="26">
        <v>331283.02</v>
      </c>
      <c r="V80" s="26">
        <v>161815.35999999999</v>
      </c>
      <c r="W80" s="26">
        <v>80386.09</v>
      </c>
      <c r="X80" s="26">
        <v>81243.98</v>
      </c>
      <c r="Y80" s="26">
        <v>0</v>
      </c>
      <c r="Z80" s="26">
        <f t="shared" ref="Z80" si="1015">+Z79+Y80</f>
        <v>972376.43999999983</v>
      </c>
      <c r="AA80" s="4">
        <f t="shared" ref="AA80" si="1016">+Z80/$D$4</f>
        <v>2.1608355292650906E-2</v>
      </c>
      <c r="AB80" s="2">
        <v>21322504.66</v>
      </c>
      <c r="AC80" s="4">
        <f t="shared" ref="AC80" si="1017">+AB80/AB$4</f>
        <v>0.53844708737373737</v>
      </c>
      <c r="AD80" s="2">
        <f t="shared" ref="AD80" si="1018">+AB80*$AD$2</f>
        <v>18172589.198863637</v>
      </c>
      <c r="AE80" s="2">
        <v>2004724.59</v>
      </c>
      <c r="AF80" s="8">
        <f t="shared" ref="AF80" si="1019">+AE80/$AE$4</f>
        <v>0.44549435333333337</v>
      </c>
      <c r="AG80" s="2">
        <v>900000</v>
      </c>
      <c r="AH80" s="8">
        <f t="shared" ref="AH80" si="1020">+AG80/$AG$4</f>
        <v>1</v>
      </c>
      <c r="AI80" s="8">
        <f t="shared" ref="AI80" si="1021">+AB80/D80</f>
        <v>0.78762493473625228</v>
      </c>
      <c r="AJ80" s="2">
        <f t="shared" si="979"/>
        <v>215035.01379999999</v>
      </c>
      <c r="AK80" s="4">
        <f t="shared" ref="AK80" si="1022">((+D80+AJ80)-AB80)/D80</f>
        <v>0.22031817238980492</v>
      </c>
      <c r="AL80" s="4">
        <f t="shared" ref="AL80" si="1023">+S80/$D80</f>
        <v>0.94576995526310914</v>
      </c>
      <c r="AM80" s="4">
        <f t="shared" ref="AM80" si="1024">+T80/$D80</f>
        <v>1.8705444824884041E-2</v>
      </c>
      <c r="AN80" s="4">
        <f t="shared" ref="AN80" si="1025">+U80/$D80</f>
        <v>1.2237153710005499E-2</v>
      </c>
      <c r="AO80" s="4">
        <f t="shared" ref="AO80" si="1026">+V80/$D80</f>
        <v>5.9772439678914885E-3</v>
      </c>
      <c r="AP80" s="4">
        <f t="shared" ref="AP80" si="1027">+W80/$D80</f>
        <v>2.9693551437569481E-3</v>
      </c>
      <c r="AQ80" s="4">
        <f t="shared" ref="AQ80" si="1028">+X80/$D80</f>
        <v>3.001044458217667E-3</v>
      </c>
      <c r="AR80" s="4">
        <f t="shared" ref="AR80" si="1029">+Y80/$D80</f>
        <v>0</v>
      </c>
    </row>
    <row r="81" spans="1:44" x14ac:dyDescent="0.25">
      <c r="A81">
        <f t="shared" si="16"/>
        <v>77</v>
      </c>
      <c r="B81" s="3">
        <f t="shared" si="30"/>
        <v>45027</v>
      </c>
      <c r="C81" s="41">
        <v>894</v>
      </c>
      <c r="D81" s="2">
        <v>26878503.600000001</v>
      </c>
      <c r="E81" s="44">
        <v>7.48</v>
      </c>
      <c r="F81" s="8">
        <f t="shared" ref="F81" si="1030">+D81/D$4</f>
        <v>0.59729980245469183</v>
      </c>
      <c r="G81" s="2">
        <v>90184.6</v>
      </c>
      <c r="N81" s="6">
        <f t="shared" ref="N81" si="1031">+G81/D80</f>
        <v>3.3312990580542344E-3</v>
      </c>
      <c r="O81" s="6">
        <f t="shared" ref="O81" si="1032">1-(+N81-1)^12</f>
        <v>3.9251222772150984E-2</v>
      </c>
      <c r="P81" s="27">
        <f t="shared" ref="P81" si="1033">AVERAGE(O79:O81)</f>
        <v>2.4850944225510523E-2</v>
      </c>
      <c r="Q81" s="27">
        <f t="shared" ref="Q81" si="1034">AVERAGE(O76:O81)</f>
        <v>3.3803116228333541E-2</v>
      </c>
      <c r="R81" s="27">
        <f t="shared" ref="R81" si="1035">AVERAGE(O70:O81)</f>
        <v>3.5139103424048357E-2</v>
      </c>
      <c r="S81" s="26">
        <v>25958606.809999999</v>
      </c>
      <c r="T81" s="26">
        <v>392802.8</v>
      </c>
      <c r="U81" s="26">
        <v>82253.710000000006</v>
      </c>
      <c r="V81" s="26">
        <v>70006.36</v>
      </c>
      <c r="W81" s="26">
        <v>111282.31</v>
      </c>
      <c r="X81" s="26">
        <v>16038.1</v>
      </c>
      <c r="Y81" s="26">
        <v>14293.86</v>
      </c>
      <c r="Z81" s="26">
        <f t="shared" ref="Z81" si="1036">+Z80+Y81</f>
        <v>986670.29999999981</v>
      </c>
      <c r="AA81" s="4">
        <f t="shared" ref="AA81" si="1037">+Z81/$D$4</f>
        <v>2.1925996478386969E-2</v>
      </c>
      <c r="AB81" s="2">
        <v>21188583.260000002</v>
      </c>
      <c r="AC81" s="4">
        <f t="shared" ref="AC81" si="1038">+AB81/AB$4</f>
        <v>0.53506523383838389</v>
      </c>
      <c r="AD81" s="2">
        <f t="shared" ref="AD81" si="1039">+AB81*$AD$2</f>
        <v>18058451.642045457</v>
      </c>
      <c r="AE81" s="2">
        <v>1897668.2</v>
      </c>
      <c r="AF81" s="8">
        <f t="shared" ref="AF81" si="1040">+AE81/$AE$4</f>
        <v>0.42170404444444443</v>
      </c>
      <c r="AG81" s="2">
        <v>900000</v>
      </c>
      <c r="AH81" s="8">
        <f t="shared" ref="AH81" si="1041">+AG81/$AG$4</f>
        <v>1</v>
      </c>
      <c r="AI81" s="8">
        <f t="shared" ref="AI81" si="1042">+AB81/D81</f>
        <v>0.78830963119539144</v>
      </c>
      <c r="AJ81" s="2">
        <f t="shared" si="979"/>
        <v>213225.0466</v>
      </c>
      <c r="AK81" s="4">
        <f t="shared" ref="AK81" si="1043">((+D81+AJ81)-AB81)/D81</f>
        <v>0.21962328983969176</v>
      </c>
      <c r="AL81" s="4">
        <f t="shared" ref="AL81" si="1044">+S81/$D81</f>
        <v>0.96577574392943499</v>
      </c>
      <c r="AM81" s="4">
        <f t="shared" ref="AM81" si="1045">+T81/$D81</f>
        <v>1.4614012961644189E-2</v>
      </c>
      <c r="AN81" s="4">
        <f t="shared" ref="AN81" si="1046">+U81/$D81</f>
        <v>3.0602042146423659E-3</v>
      </c>
      <c r="AO81" s="4">
        <f t="shared" ref="AO81" si="1047">+V81/$D81</f>
        <v>2.604548268081412E-3</v>
      </c>
      <c r="AP81" s="4">
        <f t="shared" ref="AP81" si="1048">+W81/$D81</f>
        <v>4.140197373190076E-3</v>
      </c>
      <c r="AQ81" s="4">
        <f t="shared" ref="AQ81" si="1049">+X81/$D81</f>
        <v>5.9668872340050947E-4</v>
      </c>
      <c r="AR81" s="4">
        <f t="shared" ref="AR81" si="1050">+Y81/$D81</f>
        <v>5.3179522985051888E-4</v>
      </c>
    </row>
    <row r="82" spans="1:44" x14ac:dyDescent="0.25">
      <c r="A82">
        <f t="shared" si="16"/>
        <v>78</v>
      </c>
      <c r="B82" s="3">
        <f t="shared" si="30"/>
        <v>45058</v>
      </c>
      <c r="C82" s="41">
        <v>892</v>
      </c>
      <c r="D82" s="2">
        <v>26747884.59</v>
      </c>
      <c r="E82" s="44">
        <v>7.48</v>
      </c>
      <c r="F82" s="8">
        <f t="shared" ref="F82" si="1051">+D82/D$4</f>
        <v>0.59439715913678681</v>
      </c>
      <c r="G82" s="2">
        <v>51800.78</v>
      </c>
      <c r="N82" s="6">
        <f t="shared" ref="N82" si="1052">+G82/D81</f>
        <v>1.9272196388194765E-3</v>
      </c>
      <c r="O82" s="6">
        <f t="shared" ref="O82" si="1053">1-(+N82-1)^12</f>
        <v>2.2883068039923682E-2</v>
      </c>
      <c r="P82" s="27">
        <f t="shared" ref="P82" si="1054">AVERAGE(O80:O82)</f>
        <v>3.2432883107151832E-2</v>
      </c>
      <c r="Q82" s="27">
        <f t="shared" ref="Q82" si="1055">AVERAGE(O77:O82)</f>
        <v>3.6567239561860219E-2</v>
      </c>
      <c r="R82" s="27">
        <f t="shared" ref="R82" si="1056">AVERAGE(O71:O82)</f>
        <v>3.5895961585666519E-2</v>
      </c>
      <c r="S82" s="26">
        <v>25931165.550000001</v>
      </c>
      <c r="T82" s="26">
        <v>204940.18</v>
      </c>
      <c r="U82" s="26">
        <v>170520.85</v>
      </c>
      <c r="V82" s="26">
        <v>72572.91</v>
      </c>
      <c r="W82" s="26">
        <v>97154.96</v>
      </c>
      <c r="X82" s="26">
        <v>15711.98</v>
      </c>
      <c r="Y82" s="26">
        <v>16038.1</v>
      </c>
      <c r="Z82" s="26">
        <f t="shared" ref="Z82" si="1057">+Z81+Y82</f>
        <v>1002708.3999999998</v>
      </c>
      <c r="AA82" s="4">
        <f t="shared" ref="AA82" si="1058">+Z82/$D$4</f>
        <v>2.2282398535001035E-2</v>
      </c>
      <c r="AB82" s="2">
        <v>21049659.600000001</v>
      </c>
      <c r="AC82" s="4">
        <f t="shared" ref="AC82" si="1059">+AB82/AB$4</f>
        <v>0.53155706060606067</v>
      </c>
      <c r="AD82" s="2">
        <f t="shared" ref="AD82" si="1060">+AB82*$AD$2</f>
        <v>17940050.795454547</v>
      </c>
      <c r="AE82" s="2">
        <v>1893301.25</v>
      </c>
      <c r="AF82" s="8">
        <f t="shared" ref="AF82" si="1061">+AE82/$AE$4</f>
        <v>0.42073361111111113</v>
      </c>
      <c r="AG82" s="2">
        <v>900000</v>
      </c>
      <c r="AH82" s="8">
        <f t="shared" ref="AH82" si="1062">+AG82/$AG$4</f>
        <v>1</v>
      </c>
      <c r="AI82" s="8">
        <f t="shared" ref="AI82" si="1063">+AB82/D82</f>
        <v>0.7869653964287574</v>
      </c>
      <c r="AJ82" s="2">
        <f t="shared" si="979"/>
        <v>211885.83260000002</v>
      </c>
      <c r="AK82" s="4">
        <f t="shared" ref="AK82" si="1064">((+D82+AJ82)-AB82)/D82</f>
        <v>0.22095619572134545</v>
      </c>
      <c r="AL82" s="4">
        <f t="shared" ref="AL82" si="1065">+S82/$D82</f>
        <v>0.96946603245382112</v>
      </c>
      <c r="AM82" s="4">
        <f t="shared" ref="AM82" si="1066">+T82/$D82</f>
        <v>7.6619210506321386E-3</v>
      </c>
      <c r="AN82" s="4">
        <f t="shared" ref="AN82" si="1067">+U82/$D82</f>
        <v>6.3751153638426849E-3</v>
      </c>
      <c r="AO82" s="4">
        <f t="shared" ref="AO82" si="1068">+V82/$D82</f>
        <v>2.7132205448176716E-3</v>
      </c>
      <c r="AP82" s="4">
        <f t="shared" ref="AP82" si="1069">+W82/$D82</f>
        <v>3.6322483624115264E-3</v>
      </c>
      <c r="AQ82" s="4">
        <f t="shared" ref="AQ82" si="1070">+X82/$D82</f>
        <v>5.8741019115485867E-4</v>
      </c>
      <c r="AR82" s="4">
        <f t="shared" ref="AR82" si="1071">+Y82/$D82</f>
        <v>5.9960255720544072E-4</v>
      </c>
    </row>
    <row r="83" spans="1:44" x14ac:dyDescent="0.25">
      <c r="A83">
        <f t="shared" si="16"/>
        <v>79</v>
      </c>
      <c r="B83" s="3">
        <f t="shared" si="30"/>
        <v>45089</v>
      </c>
      <c r="C83" s="41">
        <v>888</v>
      </c>
      <c r="D83" s="2">
        <v>26589715.350000001</v>
      </c>
      <c r="E83" s="44">
        <v>7.48</v>
      </c>
      <c r="F83" s="8">
        <f t="shared" ref="F83" si="1072">+D83/D$4</f>
        <v>0.59088228877002991</v>
      </c>
      <c r="G83" s="2">
        <v>66428.289999999994</v>
      </c>
      <c r="N83" s="6">
        <f t="shared" ref="N83" si="1073">+G83/D82</f>
        <v>2.4834969575438862E-3</v>
      </c>
      <c r="O83" s="6">
        <f t="shared" ref="O83" si="1074">1-(+N83-1)^12</f>
        <v>2.9398242636949901E-2</v>
      </c>
      <c r="P83" s="27">
        <f t="shared" ref="P83" si="1075">AVERAGE(O81:O83)</f>
        <v>3.0510844483008188E-2</v>
      </c>
      <c r="Q83" s="27">
        <f t="shared" ref="Q83" si="1076">AVERAGE(O78:O83)</f>
        <v>2.9716361126177853E-2</v>
      </c>
      <c r="R83" s="27">
        <f t="shared" ref="R83" si="1077">AVERAGE(O72:O83)</f>
        <v>3.6741264796519096E-2</v>
      </c>
      <c r="S83" s="26">
        <v>25698002.649999999</v>
      </c>
      <c r="T83" s="26">
        <v>370155.96</v>
      </c>
      <c r="U83" s="26">
        <v>129259.05</v>
      </c>
      <c r="V83" s="26">
        <v>85656.29</v>
      </c>
      <c r="W83" s="26">
        <v>24795.759999999998</v>
      </c>
      <c r="X83" s="26">
        <v>44865.4</v>
      </c>
      <c r="Y83" s="26">
        <v>11563.75</v>
      </c>
      <c r="Z83" s="26">
        <f t="shared" ref="Z83" si="1078">+Z82+Y83</f>
        <v>1014272.1499999998</v>
      </c>
      <c r="AA83" s="4">
        <f t="shared" ref="AA83" si="1079">+Z83/$D$4</f>
        <v>2.2539370637816886E-2</v>
      </c>
      <c r="AB83" s="2">
        <v>20910328.280000001</v>
      </c>
      <c r="AC83" s="4">
        <f t="shared" ref="AC83" si="1080">+AB83/AB$4</f>
        <v>0.528038592929293</v>
      </c>
      <c r="AD83" s="2">
        <f t="shared" ref="AD83" si="1081">+AB83*$AD$2</f>
        <v>17821302.511363637</v>
      </c>
      <c r="AE83" s="2">
        <v>1818636.86</v>
      </c>
      <c r="AF83" s="8">
        <f t="shared" ref="AF83" si="1082">+AE83/$AE$4</f>
        <v>0.40414152444444446</v>
      </c>
      <c r="AG83" s="2">
        <v>900000</v>
      </c>
      <c r="AH83" s="8">
        <f t="shared" ref="AH83" si="1083">+AG83/$AG$4</f>
        <v>1</v>
      </c>
      <c r="AI83" s="8">
        <f t="shared" ref="AI83" si="1084">+AB83/D83</f>
        <v>0.78640662394304273</v>
      </c>
      <c r="AJ83" s="2">
        <f t="shared" si="979"/>
        <v>210496.59600000002</v>
      </c>
      <c r="AK83" s="4">
        <f t="shared" ref="AK83" si="1085">((+D83+AJ83)-AB83)/D83</f>
        <v>0.22150984275203986</v>
      </c>
      <c r="AL83" s="4">
        <f t="shared" ref="AL83" si="1086">+S83/$D83</f>
        <v>0.96646399977350628</v>
      </c>
      <c r="AM83" s="4">
        <f t="shared" ref="AM83" si="1087">+T83/$D83</f>
        <v>1.3921020030776674E-2</v>
      </c>
      <c r="AN83" s="4">
        <f t="shared" ref="AN83" si="1088">+U83/$D83</f>
        <v>4.8612423374438263E-3</v>
      </c>
      <c r="AO83" s="4">
        <f t="shared" ref="AO83" si="1089">+V83/$D83</f>
        <v>3.2214068060717315E-3</v>
      </c>
      <c r="AP83" s="4">
        <f t="shared" ref="AP83" si="1090">+W83/$D83</f>
        <v>9.3253198364908396E-4</v>
      </c>
      <c r="AQ83" s="4">
        <f t="shared" ref="AQ83" si="1091">+X83/$D83</f>
        <v>1.6873215605897789E-3</v>
      </c>
      <c r="AR83" s="4">
        <f t="shared" ref="AR83" si="1092">+Y83/$D83</f>
        <v>4.3489559206582478E-4</v>
      </c>
    </row>
    <row r="84" spans="1:44" x14ac:dyDescent="0.25">
      <c r="A84">
        <f t="shared" si="16"/>
        <v>80</v>
      </c>
      <c r="B84" s="3">
        <f t="shared" si="30"/>
        <v>45120</v>
      </c>
      <c r="C84" s="41">
        <v>882</v>
      </c>
      <c r="D84" s="2">
        <v>26359181.25</v>
      </c>
      <c r="E84" s="44">
        <v>7.48</v>
      </c>
      <c r="F84" s="8">
        <f t="shared" ref="F84" si="1093">+D84/D$4</f>
        <v>0.58575931115050683</v>
      </c>
      <c r="G84" s="2">
        <v>148749.51999999999</v>
      </c>
      <c r="N84" s="6">
        <f t="shared" ref="N84" si="1094">+G84/D83</f>
        <v>5.5942501844044746E-3</v>
      </c>
      <c r="O84" s="6">
        <f t="shared" ref="O84" si="1095">1-(+N84-1)^12</f>
        <v>6.5103526429280967E-2</v>
      </c>
      <c r="P84" s="27">
        <f t="shared" ref="P84" si="1096">AVERAGE(O82:O84)</f>
        <v>3.912827903538485E-2</v>
      </c>
      <c r="Q84" s="27">
        <f t="shared" ref="Q84" si="1097">AVERAGE(O79:O84)</f>
        <v>3.1989611630447688E-2</v>
      </c>
      <c r="R84" s="27">
        <f t="shared" ref="R84" si="1098">AVERAGE(O73:O84)</f>
        <v>3.8933205020288374E-2</v>
      </c>
      <c r="S84" s="26">
        <v>25329156.93</v>
      </c>
      <c r="T84" s="26">
        <v>399461.35</v>
      </c>
      <c r="U84" s="26">
        <v>299555.44</v>
      </c>
      <c r="V84" s="26">
        <v>24435.02</v>
      </c>
      <c r="W84" s="26">
        <v>0</v>
      </c>
      <c r="X84" s="26">
        <v>24795.759999999998</v>
      </c>
      <c r="Y84" s="26">
        <v>15711.98</v>
      </c>
      <c r="Z84" s="26">
        <f t="shared" ref="Z84" si="1099">+Z83+Y84</f>
        <v>1029984.1299999998</v>
      </c>
      <c r="AA84" s="4">
        <f t="shared" ref="AA84" si="1100">+Z84/$D$4</f>
        <v>2.2888525586687331E-2</v>
      </c>
      <c r="AB84" s="2">
        <v>20634997.670000002</v>
      </c>
      <c r="AC84" s="4">
        <f t="shared" ref="AC84" si="1101">+AB84/AB$4</f>
        <v>0.52108579974747482</v>
      </c>
      <c r="AD84" s="2">
        <f t="shared" ref="AD84" si="1102">+AB84*$AD$2</f>
        <v>17586645.741477273</v>
      </c>
      <c r="AE84" s="2">
        <v>1818636.86</v>
      </c>
      <c r="AF84" s="8">
        <f t="shared" ref="AF84" si="1103">+AE84/$AE$4</f>
        <v>0.40414152444444446</v>
      </c>
      <c r="AG84" s="2">
        <v>900000</v>
      </c>
      <c r="AH84" s="8">
        <f t="shared" ref="AH84" si="1104">+AG84/$AG$4</f>
        <v>1</v>
      </c>
      <c r="AI84" s="8">
        <f t="shared" ref="AI84" si="1105">+AB84/D84</f>
        <v>0.78283909785703232</v>
      </c>
      <c r="AJ84" s="2">
        <f t="shared" ref="AJ84" si="1106">AB83*1%</f>
        <v>209103.28280000002</v>
      </c>
      <c r="AK84" s="4">
        <f t="shared" ref="AK84" si="1107">((+D84+AJ84)-AB84)/D84</f>
        <v>0.22509374652143258</v>
      </c>
      <c r="AL84" s="4">
        <f t="shared" ref="AL84" si="1108">+S84/$D84</f>
        <v>0.96092350857824915</v>
      </c>
      <c r="AM84" s="4">
        <f t="shared" ref="AM84" si="1109">+T84/$D84</f>
        <v>1.5154543163209971E-2</v>
      </c>
      <c r="AN84" s="4">
        <f t="shared" ref="AN84" si="1110">+U84/$D84</f>
        <v>1.1364368155403157E-2</v>
      </c>
      <c r="AO84" s="4">
        <f t="shared" ref="AO84" si="1111">+V84/$D84</f>
        <v>9.2700223759795272E-4</v>
      </c>
      <c r="AP84" s="4">
        <f t="shared" ref="AP84" si="1112">+W84/$D84</f>
        <v>0</v>
      </c>
      <c r="AQ84" s="4">
        <f t="shared" ref="AQ84" si="1113">+X84/$D84</f>
        <v>9.4068779165893096E-4</v>
      </c>
      <c r="AR84" s="4">
        <f t="shared" ref="AR84" si="1114">+Y84/$D84</f>
        <v>5.9607238369742605E-4</v>
      </c>
    </row>
    <row r="85" spans="1:44" x14ac:dyDescent="0.25">
      <c r="A85">
        <f t="shared" si="16"/>
        <v>81</v>
      </c>
      <c r="B85" s="3">
        <f t="shared" si="30"/>
        <v>45151</v>
      </c>
      <c r="C85" s="41">
        <v>881</v>
      </c>
      <c r="D85" s="2">
        <v>26222527.66</v>
      </c>
      <c r="E85" s="44">
        <v>7.48</v>
      </c>
      <c r="F85" s="8">
        <f t="shared" ref="F85" si="1115">+D85/D$4</f>
        <v>0.58272256611713658</v>
      </c>
      <c r="G85" s="2">
        <v>39654.949999999997</v>
      </c>
      <c r="N85" s="6">
        <f t="shared" ref="N85" si="1116">+G85/D84</f>
        <v>1.5044075012762392E-3</v>
      </c>
      <c r="O85" s="6">
        <f t="shared" ref="O85" si="1117">1-(+N85-1)^12</f>
        <v>1.7904262582903563E-2</v>
      </c>
      <c r="P85" s="27">
        <f t="shared" ref="P85" si="1118">AVERAGE(O83:O85)</f>
        <v>3.7468677216378143E-2</v>
      </c>
      <c r="Q85" s="27">
        <f t="shared" ref="Q85" si="1119">AVERAGE(O80:O85)</f>
        <v>3.4950780161764984E-2</v>
      </c>
      <c r="R85" s="27">
        <f t="shared" ref="R85" si="1120">AVERAGE(O74:O85)</f>
        <v>3.5253691804728926E-2</v>
      </c>
      <c r="S85" s="26">
        <v>25223035.699999999</v>
      </c>
      <c r="T85" s="26">
        <v>452642.58</v>
      </c>
      <c r="U85" s="26">
        <v>144857.69</v>
      </c>
      <c r="V85" s="26">
        <v>95519.81</v>
      </c>
      <c r="W85" s="26">
        <v>0</v>
      </c>
      <c r="X85" s="26">
        <v>8757.66</v>
      </c>
      <c r="Y85" s="26">
        <v>0</v>
      </c>
      <c r="Z85" s="26">
        <f t="shared" ref="Z85" si="1121">+Z84+Y85</f>
        <v>1029984.1299999998</v>
      </c>
      <c r="AA85" s="4">
        <f t="shared" ref="AA85" si="1122">+Z85/$D$4</f>
        <v>2.2888525586687331E-2</v>
      </c>
      <c r="AB85" s="2">
        <v>20482406.609999999</v>
      </c>
      <c r="AC85" s="4">
        <f t="shared" ref="AC85" si="1123">+AB85/AB$4</f>
        <v>0.51723249015151518</v>
      </c>
      <c r="AD85" s="2">
        <f t="shared" ref="AD85" si="1124">+AB85*$AD$2</f>
        <v>17456596.542613637</v>
      </c>
      <c r="AE85" s="2">
        <v>1800907.81</v>
      </c>
      <c r="AF85" s="8">
        <f t="shared" ref="AF85" si="1125">+AE85/$AE$4</f>
        <v>0.40020173555555555</v>
      </c>
      <c r="AG85" s="2">
        <v>900000</v>
      </c>
      <c r="AH85" s="8">
        <f t="shared" ref="AH85" si="1126">+AG85/$AG$4</f>
        <v>1</v>
      </c>
      <c r="AI85" s="8">
        <f t="shared" ref="AI85" si="1127">+AB85/D85</f>
        <v>0.7810996283643542</v>
      </c>
      <c r="AJ85" s="2">
        <f t="shared" ref="AJ85" si="1128">AB84*1%</f>
        <v>206349.97670000003</v>
      </c>
      <c r="AK85" s="4">
        <f t="shared" ref="AK85" si="1129">((+D85+AJ85)-AB85)/D85</f>
        <v>0.22676955874741181</v>
      </c>
      <c r="AL85" s="4">
        <f t="shared" ref="AL85" si="1130">+S85/$D85</f>
        <v>0.96188422516092409</v>
      </c>
      <c r="AM85" s="4">
        <f t="shared" ref="AM85" si="1131">+T85/$D85</f>
        <v>1.7261592241180613E-2</v>
      </c>
      <c r="AN85" s="4">
        <f t="shared" ref="AN85" si="1132">+U85/$D85</f>
        <v>5.5241695948696351E-3</v>
      </c>
      <c r="AO85" s="4">
        <f t="shared" ref="AO85" si="1133">+V85/$D85</f>
        <v>3.6426621887296735E-3</v>
      </c>
      <c r="AP85" s="4">
        <f t="shared" ref="AP85" si="1134">+W85/$D85</f>
        <v>0</v>
      </c>
      <c r="AQ85" s="4">
        <f t="shared" ref="AQ85" si="1135">+X85/$D85</f>
        <v>3.3397466916810565E-4</v>
      </c>
      <c r="AR85" s="4">
        <f t="shared" ref="AR85" si="1136">+Y85/$D85</f>
        <v>0</v>
      </c>
    </row>
    <row r="86" spans="1:44" x14ac:dyDescent="0.25">
      <c r="A86">
        <f t="shared" si="16"/>
        <v>82</v>
      </c>
      <c r="B86" s="3">
        <f t="shared" si="30"/>
        <v>45182</v>
      </c>
      <c r="C86" s="41">
        <v>874</v>
      </c>
      <c r="D86" s="2">
        <v>25985453.5</v>
      </c>
      <c r="E86" s="44">
        <v>7.48</v>
      </c>
      <c r="F86" s="8">
        <f t="shared" ref="F86" si="1137">+D86/D$4</f>
        <v>0.57745425389847893</v>
      </c>
      <c r="G86" s="2">
        <v>163130.39000000001</v>
      </c>
      <c r="N86" s="6">
        <f t="shared" ref="N86" si="1138">+G86/D85</f>
        <v>6.2210017323707538E-3</v>
      </c>
      <c r="O86" s="6">
        <f t="shared" ref="O86" si="1139">1-(+N86-1)^12</f>
        <v>7.2149996585757936E-2</v>
      </c>
      <c r="P86" s="27">
        <f t="shared" ref="P86" si="1140">AVERAGE(O84:O86)</f>
        <v>5.1719261865980824E-2</v>
      </c>
      <c r="Q86" s="27">
        <f t="shared" ref="Q86" si="1141">AVERAGE(O81:O86)</f>
        <v>4.1115053174494508E-2</v>
      </c>
      <c r="R86" s="27">
        <f t="shared" ref="R86" si="1142">AVERAGE(O75:O86)</f>
        <v>3.7021636092494585E-2</v>
      </c>
      <c r="S86" s="26">
        <v>25156179.760000002</v>
      </c>
      <c r="T86" s="26">
        <v>261776.93</v>
      </c>
      <c r="U86" s="26">
        <v>222713.52</v>
      </c>
      <c r="V86" s="26">
        <v>55687.28</v>
      </c>
      <c r="W86" s="26">
        <v>14455.84</v>
      </c>
      <c r="X86" s="26">
        <v>0</v>
      </c>
      <c r="Y86" s="26">
        <v>8757.66</v>
      </c>
      <c r="Z86" s="26">
        <f t="shared" ref="Z86" si="1143">+Z85+Y86</f>
        <v>1038741.7899999998</v>
      </c>
      <c r="AA86" s="4">
        <f t="shared" ref="AA86" si="1144">+Z86/$D$4</f>
        <v>2.308314016292309E-2</v>
      </c>
      <c r="AB86" s="2">
        <v>20268406.5</v>
      </c>
      <c r="AC86" s="4">
        <f t="shared" ref="AC86" si="1145">+AB86/AB$4</f>
        <v>0.51182844696969698</v>
      </c>
      <c r="AD86" s="2">
        <f t="shared" ref="AD86" si="1146">+AB86*$AD$2</f>
        <v>17274210.085227273</v>
      </c>
      <c r="AE86" s="2">
        <v>1739866.95</v>
      </c>
      <c r="AF86" s="8">
        <f t="shared" ref="AF86" si="1147">+AE86/$AE$4</f>
        <v>0.38663710000000001</v>
      </c>
      <c r="AG86" s="2">
        <v>900000</v>
      </c>
      <c r="AH86" s="8">
        <f t="shared" ref="AH86" si="1148">+AG86/$AG$4</f>
        <v>1</v>
      </c>
      <c r="AI86" s="8">
        <f t="shared" ref="AI86" si="1149">+AB86/D86</f>
        <v>0.77999048583085151</v>
      </c>
      <c r="AJ86" s="2">
        <f t="shared" ref="AJ86" si="1150">AB85*1%</f>
        <v>204824.0661</v>
      </c>
      <c r="AK86" s="4">
        <f t="shared" ref="AK86" si="1151">((+D86+AJ86)-AB86)/D86</f>
        <v>0.22789177283744544</v>
      </c>
      <c r="AL86" s="4">
        <f t="shared" ref="AL86" si="1152">+S86/$D86</f>
        <v>0.96808700144486615</v>
      </c>
      <c r="AM86" s="4">
        <f t="shared" ref="AM86" si="1153">+T86/$D86</f>
        <v>1.0073979659427534E-2</v>
      </c>
      <c r="AN86" s="4">
        <f t="shared" ref="AN86" si="1154">+U86/$D86</f>
        <v>8.570699757077551E-3</v>
      </c>
      <c r="AO86" s="4">
        <f t="shared" ref="AO86" si="1155">+V86/$D86</f>
        <v>2.1430174385834752E-3</v>
      </c>
      <c r="AP86" s="4">
        <f t="shared" ref="AP86" si="1156">+W86/$D86</f>
        <v>5.5630508815249268E-4</v>
      </c>
      <c r="AQ86" s="4">
        <f t="shared" ref="AQ86" si="1157">+X86/$D86</f>
        <v>0</v>
      </c>
      <c r="AR86" s="4">
        <f t="shared" ref="AR86" si="1158">+Y86/$D86</f>
        <v>3.3702163404614047E-4</v>
      </c>
    </row>
    <row r="87" spans="1:44" x14ac:dyDescent="0.25">
      <c r="A87">
        <f t="shared" si="16"/>
        <v>83</v>
      </c>
      <c r="B87" s="3">
        <f t="shared" si="30"/>
        <v>45213</v>
      </c>
      <c r="C87" s="41">
        <v>869</v>
      </c>
      <c r="D87" s="2">
        <v>25783856.670000002</v>
      </c>
      <c r="E87" s="44">
        <v>7.48</v>
      </c>
      <c r="F87" s="8">
        <f t="shared" ref="F87" si="1159">+D87/D$4</f>
        <v>0.57297432642459645</v>
      </c>
      <c r="G87" s="2">
        <v>88067.88</v>
      </c>
      <c r="N87" s="6">
        <f t="shared" ref="N87" si="1160">+G87/D86</f>
        <v>3.3891223025990292E-3</v>
      </c>
      <c r="O87" s="6">
        <f t="shared" ref="O87" si="1161">1-(+N87-1)^12</f>
        <v>3.9919880931705176E-2</v>
      </c>
      <c r="P87" s="27">
        <f t="shared" ref="P87" si="1162">AVERAGE(O85:O87)</f>
        <v>4.3324713366788892E-2</v>
      </c>
      <c r="Q87" s="27">
        <f t="shared" ref="Q87" si="1163">AVERAGE(O82:O87)</f>
        <v>4.1226496201086871E-2</v>
      </c>
      <c r="R87" s="27">
        <f t="shared" ref="R87" si="1164">AVERAGE(O76:O87)</f>
        <v>3.7514806214710206E-2</v>
      </c>
      <c r="S87" s="26">
        <v>24801522.640000001</v>
      </c>
      <c r="T87" s="26">
        <v>455220.14</v>
      </c>
      <c r="U87" s="26">
        <v>185364.19</v>
      </c>
      <c r="V87" s="26">
        <v>28614.84</v>
      </c>
      <c r="W87" s="26">
        <v>38572.44</v>
      </c>
      <c r="X87" s="26">
        <v>0</v>
      </c>
      <c r="Y87" s="26">
        <v>0</v>
      </c>
      <c r="Z87" s="26">
        <f t="shared" ref="Z87" si="1165">+Z86+Y87</f>
        <v>1038741.7899999998</v>
      </c>
      <c r="AA87" s="4">
        <f t="shared" ref="AA87" si="1166">+Z87/$D$4</f>
        <v>2.308314016292309E-2</v>
      </c>
      <c r="AB87" s="2">
        <v>20066887.420000002</v>
      </c>
      <c r="AC87" s="4">
        <f t="shared" ref="AC87" si="1167">+AB87/AB$4</f>
        <v>0.50673958131313135</v>
      </c>
      <c r="AD87" s="2">
        <f t="shared" ref="AD87" si="1168">+AB87*$AD$2</f>
        <v>17102460.869318184</v>
      </c>
      <c r="AE87" s="2">
        <v>1714528.06</v>
      </c>
      <c r="AF87" s="8">
        <f t="shared" ref="AF87" si="1169">+AE87/$AE$4</f>
        <v>0.38100623555555557</v>
      </c>
      <c r="AG87" s="2">
        <v>900000</v>
      </c>
      <c r="AH87" s="8">
        <f t="shared" ref="AH87" si="1170">+AG87/$AG$4</f>
        <v>1</v>
      </c>
      <c r="AI87" s="8">
        <f t="shared" ref="AI87" si="1171">+AB87/D87</f>
        <v>0.77827330786197702</v>
      </c>
      <c r="AJ87" s="2">
        <f t="shared" ref="AJ87" si="1172">AB86*1%</f>
        <v>202684.065</v>
      </c>
      <c r="AK87" s="4">
        <f t="shared" ref="AK87" si="1173">((+D87+AJ87)-AB87)/D87</f>
        <v>0.22958758229088469</v>
      </c>
      <c r="AL87" s="4">
        <f t="shared" ref="AL87" si="1174">+S87/$D87</f>
        <v>0.96190119877826641</v>
      </c>
      <c r="AM87" s="4">
        <f t="shared" ref="AM87" si="1175">+T87/$D87</f>
        <v>1.7655238540387062E-2</v>
      </c>
      <c r="AN87" s="4">
        <f t="shared" ref="AN87" si="1176">+U87/$D87</f>
        <v>7.1891568578130787E-3</v>
      </c>
      <c r="AO87" s="4">
        <f t="shared" ref="AO87" si="1177">+V87/$D87</f>
        <v>1.1097967370138969E-3</v>
      </c>
      <c r="AP87" s="4">
        <f t="shared" ref="AP87" si="1178">+W87/$D87</f>
        <v>1.4959918717233546E-3</v>
      </c>
      <c r="AQ87" s="4">
        <f t="shared" ref="AQ87" si="1179">+X87/$D87</f>
        <v>0</v>
      </c>
      <c r="AR87" s="4">
        <f t="shared" ref="AR87" si="1180">+Y87/$D87</f>
        <v>0</v>
      </c>
    </row>
    <row r="88" spans="1:44" x14ac:dyDescent="0.25">
      <c r="A88">
        <f t="shared" si="16"/>
        <v>84</v>
      </c>
      <c r="B88" s="3">
        <f t="shared" si="30"/>
        <v>45244</v>
      </c>
      <c r="C88" s="41">
        <v>867</v>
      </c>
      <c r="D88" s="2">
        <v>25606166.579999998</v>
      </c>
      <c r="E88" s="44">
        <v>7.48</v>
      </c>
      <c r="F88" s="8">
        <f t="shared" ref="F88" si="1181">+D88/D$4</f>
        <v>0.56902565959274354</v>
      </c>
      <c r="G88" s="2">
        <v>51877.51</v>
      </c>
      <c r="N88" s="6">
        <f t="shared" ref="N88" si="1182">+G88/D87</f>
        <v>2.0120151404797583E-3</v>
      </c>
      <c r="O88" s="6">
        <f t="shared" ref="O88" si="1183">1-(+N88-1)^12</f>
        <v>2.3878783985596952E-2</v>
      </c>
      <c r="P88" s="27">
        <f t="shared" ref="P88" si="1184">AVERAGE(O86:O88)</f>
        <v>4.5316220501020021E-2</v>
      </c>
      <c r="Q88" s="27">
        <f t="shared" ref="Q88" si="1185">AVERAGE(O83:O88)</f>
        <v>4.1392448858699082E-2</v>
      </c>
      <c r="R88" s="27">
        <f t="shared" ref="R88" si="1186">AVERAGE(O77:O88)</f>
        <v>3.8979844210279647E-2</v>
      </c>
      <c r="S88" s="26">
        <v>24821187</v>
      </c>
      <c r="T88" s="26">
        <v>205543</v>
      </c>
      <c r="U88" s="26">
        <v>127222</v>
      </c>
      <c r="V88" s="26">
        <v>163858</v>
      </c>
      <c r="W88" s="26">
        <v>43001</v>
      </c>
      <c r="X88" s="26">
        <v>0</v>
      </c>
      <c r="Y88" s="26">
        <v>0</v>
      </c>
      <c r="Z88" s="26">
        <f t="shared" ref="Z88" si="1187">+Z87+Y88</f>
        <v>1038741.7899999998</v>
      </c>
      <c r="AA88" s="4">
        <f t="shared" ref="AA88" si="1188">+Z88/$D$4</f>
        <v>2.308314016292309E-2</v>
      </c>
      <c r="AB88" s="2">
        <v>19918406.68</v>
      </c>
      <c r="AC88" s="4">
        <f t="shared" ref="AC88" si="1189">+AB88/AB$4</f>
        <v>0.50299006767676768</v>
      </c>
      <c r="AD88" s="2">
        <f t="shared" ref="AD88" si="1190">+AB88*$AD$2</f>
        <v>16975914.78409091</v>
      </c>
      <c r="AE88" s="2">
        <v>1645785.48</v>
      </c>
      <c r="AF88" s="8">
        <f t="shared" ref="AF88" si="1191">+AE88/$AE$4</f>
        <v>0.36573010666666667</v>
      </c>
      <c r="AG88" s="2">
        <v>900000</v>
      </c>
      <c r="AH88" s="8">
        <f t="shared" ref="AH88" si="1192">+AG88/$AG$4</f>
        <v>1</v>
      </c>
      <c r="AI88" s="8">
        <f t="shared" ref="AI88" si="1193">+AB88/D88</f>
        <v>0.77787538473476581</v>
      </c>
      <c r="AJ88" s="2">
        <f t="shared" ref="AJ88" si="1194">AB87*1%</f>
        <v>200668.87420000002</v>
      </c>
      <c r="AK88" s="4">
        <f t="shared" ref="AK88" si="1195">((+D88+AJ88)-AB88)/D88</f>
        <v>0.22996135543378163</v>
      </c>
      <c r="AL88" s="4">
        <f t="shared" ref="AL88" si="1196">+S88/$D88</f>
        <v>0.96934411960698885</v>
      </c>
      <c r="AM88" s="4">
        <f t="shared" ref="AM88" si="1197">+T88/$D88</f>
        <v>8.0270898557905108E-3</v>
      </c>
      <c r="AN88" s="4">
        <f t="shared" ref="AN88" si="1198">+U88/$D88</f>
        <v>4.9684125736871622E-3</v>
      </c>
      <c r="AO88" s="4">
        <f t="shared" ref="AO88" si="1199">+V88/$D88</f>
        <v>6.3991616819357583E-3</v>
      </c>
      <c r="AP88" s="4">
        <f t="shared" ref="AP88" si="1200">+W88/$D88</f>
        <v>1.6793220439949197E-3</v>
      </c>
      <c r="AQ88" s="4">
        <f t="shared" ref="AQ88" si="1201">+X88/$D88</f>
        <v>0</v>
      </c>
      <c r="AR88" s="4">
        <f t="shared" ref="AR88" si="1202">+Y88/$D88</f>
        <v>0</v>
      </c>
    </row>
    <row r="89" spans="1:44" x14ac:dyDescent="0.25">
      <c r="A89">
        <f t="shared" si="16"/>
        <v>85</v>
      </c>
      <c r="B89" s="3">
        <f t="shared" si="30"/>
        <v>45275</v>
      </c>
      <c r="C89" s="41">
        <v>861</v>
      </c>
      <c r="D89" s="2">
        <v>25348648.59</v>
      </c>
      <c r="E89" s="44">
        <v>7.48</v>
      </c>
      <c r="F89" s="8">
        <f t="shared" ref="F89" si="1203">+D89/D$4</f>
        <v>0.56330304025185396</v>
      </c>
      <c r="G89" s="2">
        <v>179874.68</v>
      </c>
      <c r="N89" s="6">
        <f t="shared" ref="N89" si="1204">+G89/D88</f>
        <v>7.0246625725106883E-3</v>
      </c>
      <c r="O89" s="6">
        <f t="shared" ref="O89" si="1205">1-(+N89-1)^12</f>
        <v>8.1114191013966885E-2</v>
      </c>
      <c r="P89" s="27">
        <f t="shared" ref="P89" si="1206">AVERAGE(O87:O89)</f>
        <v>4.8304285310423002E-2</v>
      </c>
      <c r="Q89" s="27">
        <f t="shared" ref="Q89" si="1207">AVERAGE(O84:O89)</f>
        <v>5.0011773588201913E-2</v>
      </c>
      <c r="R89" s="27">
        <f t="shared" ref="R89" si="1208">AVERAGE(O78:O89)</f>
        <v>3.9864067357189885E-2</v>
      </c>
      <c r="S89" s="26">
        <v>24234332.260000002</v>
      </c>
      <c r="T89" s="26">
        <v>589617.59</v>
      </c>
      <c r="U89" s="26">
        <v>109293.86</v>
      </c>
      <c r="V89" s="26">
        <v>141515.47</v>
      </c>
      <c r="W89" s="26">
        <v>0</v>
      </c>
      <c r="X89" s="26">
        <v>15809.99</v>
      </c>
      <c r="Y89" s="26">
        <v>0</v>
      </c>
      <c r="Z89" s="26">
        <f t="shared" ref="Z89" si="1209">+Z88+Y89</f>
        <v>1038741.7899999998</v>
      </c>
      <c r="AA89" s="4">
        <f t="shared" ref="AA89" si="1210">+Z89/$D$4</f>
        <v>2.308314016292309E-2</v>
      </c>
      <c r="AB89" s="2">
        <v>19648162.34</v>
      </c>
      <c r="AC89" s="4">
        <f t="shared" ref="AC89" si="1211">+AB89/AB$4</f>
        <v>0.49616571565656564</v>
      </c>
      <c r="AD89" s="2">
        <f t="shared" ref="AD89" si="1212">+AB89*$AD$2</f>
        <v>16745592.903409092</v>
      </c>
      <c r="AE89" s="2">
        <v>1629413.61</v>
      </c>
      <c r="AF89" s="8">
        <f t="shared" ref="AF89" si="1213">+AE89/$AE$4</f>
        <v>0.36209191333333335</v>
      </c>
      <c r="AG89" s="2">
        <v>900000</v>
      </c>
      <c r="AH89" s="8">
        <f t="shared" ref="AH89" si="1214">+AG89/$AG$4</f>
        <v>1</v>
      </c>
      <c r="AI89" s="8">
        <f t="shared" ref="AI89" si="1215">+AB89/D89</f>
        <v>0.77511675899563215</v>
      </c>
      <c r="AJ89" s="2">
        <f t="shared" ref="AJ89" si="1216">AB88*1%</f>
        <v>199184.0668</v>
      </c>
      <c r="AK89" s="4">
        <f t="shared" ref="AK89" si="1217">((+D89+AJ89)-AB89)/D89</f>
        <v>0.23274101954008738</v>
      </c>
      <c r="AL89" s="4">
        <f t="shared" ref="AL89" si="1218">+S89/$D89</f>
        <v>0.95604040483485209</v>
      </c>
      <c r="AM89" s="4">
        <f t="shared" ref="AM89" si="1219">+T89/$D89</f>
        <v>2.3260316537450566E-2</v>
      </c>
      <c r="AN89" s="4">
        <f t="shared" ref="AN89" si="1220">+U89/$D89</f>
        <v>4.3116247247640752E-3</v>
      </c>
      <c r="AO89" s="4">
        <f t="shared" ref="AO89" si="1221">+V89/$D89</f>
        <v>5.5827619171709064E-3</v>
      </c>
      <c r="AP89" s="4">
        <f t="shared" ref="AP89" si="1222">+W89/$D89</f>
        <v>0</v>
      </c>
      <c r="AQ89" s="4">
        <f t="shared" ref="AQ89" si="1223">+X89/$D89</f>
        <v>6.2370149413949489E-4</v>
      </c>
      <c r="AR89" s="4">
        <f t="shared" ref="AR89" si="1224">+Y89/$D89</f>
        <v>0</v>
      </c>
    </row>
    <row r="90" spans="1:44" x14ac:dyDescent="0.25">
      <c r="A90">
        <f t="shared" si="16"/>
        <v>86</v>
      </c>
      <c r="B90" s="3">
        <f t="shared" si="30"/>
        <v>45306</v>
      </c>
      <c r="C90" s="41">
        <v>857</v>
      </c>
      <c r="D90" s="2">
        <v>25241978.289999999</v>
      </c>
      <c r="E90" s="44">
        <v>7.47</v>
      </c>
      <c r="F90" s="8">
        <f t="shared" ref="F90" si="1225">+D90/D$4</f>
        <v>0.56093259024221198</v>
      </c>
      <c r="G90" s="2">
        <v>1578.29</v>
      </c>
      <c r="N90" s="6">
        <f t="shared" ref="N90" si="1226">+G90/D89</f>
        <v>6.2263279811399213E-5</v>
      </c>
      <c r="O90" s="6">
        <f t="shared" ref="O90" si="1227">1-(+N90-1)^12</f>
        <v>7.4690354757522837E-4</v>
      </c>
      <c r="P90" s="27">
        <f t="shared" ref="P90" si="1228">AVERAGE(O88:O90)</f>
        <v>3.5246626182379691E-2</v>
      </c>
      <c r="Q90" s="27">
        <f t="shared" ref="Q90" si="1229">AVERAGE(O85:O90)</f>
        <v>3.9285669774584288E-2</v>
      </c>
      <c r="R90" s="27">
        <f t="shared" ref="R90" si="1230">AVERAGE(O79:O90)</f>
        <v>3.5637640702515988E-2</v>
      </c>
      <c r="S90" s="26">
        <v>24216118.370000001</v>
      </c>
      <c r="T90" s="26">
        <v>479252.34</v>
      </c>
      <c r="U90" s="26">
        <v>170246.84</v>
      </c>
      <c r="V90" s="26">
        <v>28564.02</v>
      </c>
      <c r="W90" s="26">
        <v>90267.09</v>
      </c>
      <c r="X90" s="26">
        <v>0</v>
      </c>
      <c r="Y90" s="26">
        <v>0</v>
      </c>
      <c r="Z90" s="26">
        <f t="shared" ref="Z90" si="1231">+Z89+Y90</f>
        <v>1038741.7899999998</v>
      </c>
      <c r="AA90" s="4">
        <f t="shared" ref="AA90" si="1232">+Z90/$D$4</f>
        <v>2.308314016292309E-2</v>
      </c>
      <c r="AB90" s="2">
        <v>19542041.829999998</v>
      </c>
      <c r="AC90" s="4">
        <f t="shared" ref="AC90" si="1233">+AB90/AB$4</f>
        <v>0.49348590479797977</v>
      </c>
      <c r="AD90" s="2">
        <f t="shared" ref="AD90" si="1234">+AB90*$AD$2</f>
        <v>16655149.286931816</v>
      </c>
      <c r="AE90" s="2">
        <v>1593469.32</v>
      </c>
      <c r="AF90" s="8">
        <f t="shared" ref="AF90" si="1235">+AE90/$AE$4</f>
        <v>0.35410429333333338</v>
      </c>
      <c r="AG90" s="2">
        <v>900000</v>
      </c>
      <c r="AH90" s="8">
        <f t="shared" ref="AH90" si="1236">+AG90/$AG$4</f>
        <v>1</v>
      </c>
      <c r="AI90" s="8">
        <f t="shared" ref="AI90" si="1237">+AB90/D90</f>
        <v>0.774188203693285</v>
      </c>
      <c r="AJ90" s="2">
        <f t="shared" ref="AJ90" si="1238">AB89*1%</f>
        <v>196481.62340000001</v>
      </c>
      <c r="AK90" s="4">
        <f t="shared" ref="AK90" si="1239">((+D90+AJ90)-AB90)/D90</f>
        <v>0.23359571962455722</v>
      </c>
      <c r="AL90" s="4">
        <f t="shared" ref="AL90" si="1240">+S90/$D90</f>
        <v>0.95935897304822548</v>
      </c>
      <c r="AM90" s="4">
        <f t="shared" ref="AM90" si="1241">+T90/$D90</f>
        <v>1.8986322486057413E-2</v>
      </c>
      <c r="AN90" s="4">
        <f t="shared" ref="AN90" si="1242">+U90/$D90</f>
        <v>6.74459180829919E-3</v>
      </c>
      <c r="AO90" s="4">
        <f t="shared" ref="AO90" si="1243">+V90/$D90</f>
        <v>1.1316078190003072E-3</v>
      </c>
      <c r="AP90" s="4">
        <f t="shared" ref="AP90" si="1244">+W90/$D90</f>
        <v>3.5760703445244903E-3</v>
      </c>
      <c r="AQ90" s="4">
        <f t="shared" ref="AQ90" si="1245">+X90/$D90</f>
        <v>0</v>
      </c>
      <c r="AR90" s="4">
        <f t="shared" ref="AR90" si="1246">+Y90/$D90</f>
        <v>0</v>
      </c>
    </row>
    <row r="91" spans="1:44" x14ac:dyDescent="0.25">
      <c r="A91">
        <f t="shared" si="16"/>
        <v>87</v>
      </c>
      <c r="B91" s="3">
        <f t="shared" si="30"/>
        <v>45337</v>
      </c>
      <c r="C91" s="41">
        <v>856</v>
      </c>
      <c r="D91" s="2">
        <v>25108618.670000002</v>
      </c>
      <c r="E91" s="44">
        <v>7.47</v>
      </c>
      <c r="F91" s="8">
        <f t="shared" ref="F91" si="1247">+D91/D$4</f>
        <v>0.55796904450816187</v>
      </c>
      <c r="G91" s="2">
        <v>47288.66</v>
      </c>
      <c r="N91" s="6">
        <f t="shared" ref="N91" si="1248">+G91/D90</f>
        <v>1.8734133853024562E-3</v>
      </c>
      <c r="O91" s="6">
        <f t="shared" ref="O91" si="1249">1-(+N91-1)^12</f>
        <v>2.2250762332514107E-2</v>
      </c>
      <c r="P91" s="27">
        <f t="shared" ref="P91" si="1250">AVERAGE(O89:O91)</f>
        <v>3.4703952298018738E-2</v>
      </c>
      <c r="Q91" s="27">
        <f t="shared" ref="Q91" si="1251">AVERAGE(O86:O91)</f>
        <v>4.0010086399519383E-2</v>
      </c>
      <c r="R91" s="27">
        <f t="shared" ref="R91" si="1252">AVERAGE(O80:O91)</f>
        <v>3.7480433280642184E-2</v>
      </c>
      <c r="S91" s="26">
        <v>24194313.460000001</v>
      </c>
      <c r="T91" s="26">
        <v>490825.55</v>
      </c>
      <c r="U91" s="26">
        <v>110120.17</v>
      </c>
      <c r="V91" s="26">
        <v>18733.16</v>
      </c>
      <c r="W91" s="26">
        <v>28564.02</v>
      </c>
      <c r="X91" s="26">
        <v>8532.68</v>
      </c>
      <c r="Y91" s="26">
        <v>0</v>
      </c>
      <c r="Z91" s="26">
        <f t="shared" ref="Z91" si="1253">+Z90+Y91</f>
        <v>1038741.7899999998</v>
      </c>
      <c r="AA91" s="4">
        <f t="shared" ref="AA91" si="1254">+Z91/$D$4</f>
        <v>2.308314016292309E-2</v>
      </c>
      <c r="AB91" s="2">
        <v>19408682.210000001</v>
      </c>
      <c r="AC91" s="4">
        <f t="shared" ref="AC91" si="1255">+AB91/AB$4</f>
        <v>0.49011823762626266</v>
      </c>
      <c r="AD91" s="2">
        <f t="shared" ref="AD91" si="1256">+AB91*$AD$2</f>
        <v>16541490.519886365</v>
      </c>
      <c r="AE91" s="2">
        <v>1545205.29</v>
      </c>
      <c r="AF91" s="8">
        <f t="shared" ref="AF91" si="1257">+AE91/$AE$4</f>
        <v>0.34337895333333335</v>
      </c>
      <c r="AG91" s="2">
        <v>900000</v>
      </c>
      <c r="AH91" s="8">
        <f t="shared" ref="AH91" si="1258">+AG91/$AG$4</f>
        <v>1</v>
      </c>
      <c r="AI91" s="8">
        <f t="shared" ref="AI91" si="1259">+AB91/D91</f>
        <v>0.77298884757804953</v>
      </c>
      <c r="AJ91" s="2">
        <f t="shared" ref="AJ91" si="1260">AB90*1%</f>
        <v>195420.41829999999</v>
      </c>
      <c r="AK91" s="4">
        <f t="shared" ref="AK91" si="1261">((+D91+AJ91)-AB91)/D91</f>
        <v>0.23479415398282441</v>
      </c>
      <c r="AL91" s="4">
        <f t="shared" ref="AL91" si="1262">+S91/$D91</f>
        <v>0.96358600120474092</v>
      </c>
      <c r="AM91" s="4">
        <f t="shared" ref="AM91" si="1263">+T91/$D91</f>
        <v>1.9548090496369786E-2</v>
      </c>
      <c r="AN91" s="4">
        <f t="shared" ref="AN91" si="1264">+U91/$D91</f>
        <v>4.3857518188195888E-3</v>
      </c>
      <c r="AO91" s="4">
        <f t="shared" ref="AO91" si="1265">+V91/$D91</f>
        <v>7.4608485023441547E-4</v>
      </c>
      <c r="AP91" s="4">
        <f t="shared" ref="AP91" si="1266">+W91/$D91</f>
        <v>1.1376181372386106E-3</v>
      </c>
      <c r="AQ91" s="4">
        <f t="shared" ref="AQ91" si="1267">+X91/$D91</f>
        <v>3.3983072155996066E-4</v>
      </c>
      <c r="AR91" s="4">
        <f t="shared" ref="AR91" si="1268">+Y91/$D91</f>
        <v>0</v>
      </c>
    </row>
    <row r="92" spans="1:44" x14ac:dyDescent="0.25">
      <c r="A92">
        <f t="shared" si="16"/>
        <v>88</v>
      </c>
      <c r="B92" s="3">
        <f t="shared" si="30"/>
        <v>45368</v>
      </c>
      <c r="C92" s="41">
        <v>850</v>
      </c>
      <c r="D92" s="2">
        <v>24890158.620000001</v>
      </c>
      <c r="E92" s="44">
        <v>7.47</v>
      </c>
      <c r="F92" s="8">
        <f t="shared" ref="F92" si="1269">+D92/D$4</f>
        <v>0.55311437898618532</v>
      </c>
      <c r="G92" s="2">
        <v>129694.56</v>
      </c>
      <c r="N92" s="6">
        <f t="shared" ref="N92" si="1270">+G92/D91</f>
        <v>5.1653403042422321E-3</v>
      </c>
      <c r="O92" s="6">
        <f t="shared" ref="O92" si="1271">1-(+N92-1)^12</f>
        <v>6.0253124626598265E-2</v>
      </c>
      <c r="P92" s="27">
        <f t="shared" ref="P92" si="1272">AVERAGE(O90:O92)</f>
        <v>2.77502635022292E-2</v>
      </c>
      <c r="Q92" s="27">
        <f t="shared" ref="Q92" si="1273">AVERAGE(O87:O92)</f>
        <v>3.8027274406326105E-2</v>
      </c>
      <c r="R92" s="27">
        <f t="shared" ref="R92" si="1274">AVERAGE(O81:O92)</f>
        <v>3.9571163790410306E-2</v>
      </c>
      <c r="S92" s="26">
        <v>23913257.359999999</v>
      </c>
      <c r="T92" s="26">
        <v>551928.37</v>
      </c>
      <c r="U92" s="26">
        <v>111689.39</v>
      </c>
      <c r="V92" s="26">
        <v>0</v>
      </c>
      <c r="W92" s="26">
        <v>18733.16</v>
      </c>
      <c r="X92" s="26">
        <v>37096.699999999997</v>
      </c>
      <c r="Y92" s="26">
        <v>0</v>
      </c>
      <c r="Z92" s="26">
        <f t="shared" ref="Z92" si="1275">+Z91+Y92</f>
        <v>1038741.7899999998</v>
      </c>
      <c r="AA92" s="4">
        <f t="shared" ref="AA92" si="1276">+Z92/$D$4</f>
        <v>2.308314016292309E-2</v>
      </c>
      <c r="AB92" s="2">
        <v>19190298.149999999</v>
      </c>
      <c r="AC92" s="4">
        <f t="shared" ref="AC92" si="1277">+AB92/AB$4</f>
        <v>0.4846034886363636</v>
      </c>
      <c r="AD92" s="2">
        <f t="shared" ref="AD92" si="1278">+AB92*$AD$2</f>
        <v>16355367.741477272</v>
      </c>
      <c r="AE92" s="2">
        <v>1518818.01</v>
      </c>
      <c r="AF92" s="8">
        <f t="shared" ref="AF92" si="1279">+AE92/$AE$4</f>
        <v>0.33751511333333334</v>
      </c>
      <c r="AG92" s="2">
        <v>900000</v>
      </c>
      <c r="AH92" s="8">
        <f t="shared" ref="AH92" si="1280">+AG92/$AG$4</f>
        <v>1</v>
      </c>
      <c r="AI92" s="8">
        <f t="shared" ref="AI92" si="1281">+AB92/D92</f>
        <v>0.77099943166211926</v>
      </c>
      <c r="AJ92" s="2">
        <f t="shared" ref="AJ92" si="1282">AB91*1%</f>
        <v>194086.82210000002</v>
      </c>
      <c r="AK92" s="4">
        <f t="shared" ref="AK92" si="1283">((+D92+AJ92)-AB92)/D92</f>
        <v>0.23679830177394029</v>
      </c>
      <c r="AL92" s="4">
        <f t="shared" ref="AL92" si="1284">+S92/$D92</f>
        <v>0.96075150524693598</v>
      </c>
      <c r="AM92" s="4">
        <f t="shared" ref="AM92" si="1285">+T92/$D92</f>
        <v>2.2174562180431776E-2</v>
      </c>
      <c r="AN92" s="4">
        <f t="shared" ref="AN92" si="1286">+U92/$D92</f>
        <v>4.4872912103603134E-3</v>
      </c>
      <c r="AO92" s="4">
        <f t="shared" ref="AO92" si="1287">+V92/$D92</f>
        <v>0</v>
      </c>
      <c r="AP92" s="4">
        <f t="shared" ref="AP92" si="1288">+W92/$D92</f>
        <v>7.5263321082041381E-4</v>
      </c>
      <c r="AQ92" s="4">
        <f t="shared" ref="AQ92" si="1289">+X92/$D92</f>
        <v>1.4904163756590794E-3</v>
      </c>
      <c r="AR92" s="4">
        <f t="shared" ref="AR92" si="1290">+Y92/$D92</f>
        <v>0</v>
      </c>
    </row>
    <row r="93" spans="1:44" x14ac:dyDescent="0.25">
      <c r="A93">
        <f t="shared" si="16"/>
        <v>89</v>
      </c>
      <c r="B93" s="3">
        <f t="shared" si="30"/>
        <v>45399</v>
      </c>
      <c r="C93" s="41">
        <v>848</v>
      </c>
      <c r="D93" s="2">
        <v>24801698.300000001</v>
      </c>
      <c r="E93" s="44">
        <v>7.47</v>
      </c>
      <c r="F93" s="8">
        <f t="shared" ref="F93" si="1291">+D93/D$4</f>
        <v>0.55114859501073066</v>
      </c>
      <c r="G93" s="2">
        <v>96388.46</v>
      </c>
      <c r="N93" s="6">
        <f t="shared" ref="N93" si="1292">+G93/D92</f>
        <v>3.8725530629020958E-3</v>
      </c>
      <c r="O93" s="6">
        <f t="shared" ref="O93" si="1293">1-(+N93-1)^12</f>
        <v>4.5493522664849184E-2</v>
      </c>
      <c r="P93" s="27">
        <f t="shared" ref="P93" si="1294">AVERAGE(O91:O93)</f>
        <v>4.2665803207987185E-2</v>
      </c>
      <c r="Q93" s="27">
        <f t="shared" ref="Q93" si="1295">AVERAGE(O88:O93)</f>
        <v>3.8956214695183435E-2</v>
      </c>
      <c r="R93" s="27">
        <f t="shared" ref="R93" si="1296">AVERAGE(O82:O93)</f>
        <v>4.0091355448135156E-2</v>
      </c>
      <c r="S93" s="26">
        <v>23733856.710000001</v>
      </c>
      <c r="T93" s="26">
        <v>531005.69999999995</v>
      </c>
      <c r="U93" s="26">
        <v>96585.13</v>
      </c>
      <c r="V93" s="26">
        <v>0</v>
      </c>
      <c r="W93" s="26">
        <v>18733.16</v>
      </c>
      <c r="X93" s="26">
        <v>0</v>
      </c>
      <c r="Y93" s="26">
        <v>0</v>
      </c>
      <c r="Z93" s="26">
        <f t="shared" ref="Z93" si="1297">+Z92+Y93</f>
        <v>1038741.7899999998</v>
      </c>
      <c r="AA93" s="4">
        <f t="shared" ref="AA93" si="1298">+Z93/$D$4</f>
        <v>2.308314016292309E-2</v>
      </c>
      <c r="AB93" s="2">
        <v>19082275.59</v>
      </c>
      <c r="AC93" s="4">
        <f t="shared" ref="AC93" si="1299">+AB93/AB$4</f>
        <v>0.4818756462121212</v>
      </c>
      <c r="AD93" s="2">
        <f t="shared" ref="AD93" si="1300">+AB93*$AD$2</f>
        <v>16263303.059659092</v>
      </c>
      <c r="AE93" s="2">
        <v>1518818.01</v>
      </c>
      <c r="AF93" s="8">
        <f t="shared" ref="AF93" si="1301">+AE93/$AE$4</f>
        <v>0.33751511333333334</v>
      </c>
      <c r="AG93" s="2">
        <v>900000</v>
      </c>
      <c r="AH93" s="8">
        <f t="shared" ref="AH93" si="1302">+AG93/$AG$4</f>
        <v>1</v>
      </c>
      <c r="AI93" s="8">
        <f t="shared" ref="AI93" si="1303">+AB93/D93</f>
        <v>0.76939390840021626</v>
      </c>
      <c r="AJ93" s="2">
        <f t="shared" ref="AJ93" si="1304">AB92*1%</f>
        <v>191902.98149999999</v>
      </c>
      <c r="AK93" s="4">
        <f t="shared" ref="AK93" si="1305">((+D93+AJ93)-AB93)/D93</f>
        <v>0.23834358518505164</v>
      </c>
      <c r="AL93" s="4">
        <f t="shared" ref="AL93" si="1306">+S93/$D93</f>
        <v>0.95694481978276469</v>
      </c>
      <c r="AM93" s="4">
        <f t="shared" ref="AM93" si="1307">+T93/$D93</f>
        <v>2.1410054004245345E-2</v>
      </c>
      <c r="AN93" s="4">
        <f t="shared" ref="AN93" si="1308">+U93/$D93</f>
        <v>3.8942950128540189E-3</v>
      </c>
      <c r="AO93" s="4">
        <f t="shared" ref="AO93" si="1309">+V93/$D93</f>
        <v>0</v>
      </c>
      <c r="AP93" s="4">
        <f t="shared" ref="AP93" si="1310">+W93/$D93</f>
        <v>7.5531763080917728E-4</v>
      </c>
      <c r="AQ93" s="4">
        <f t="shared" ref="AQ93" si="1311">+X93/$D93</f>
        <v>0</v>
      </c>
      <c r="AR93" s="4">
        <f t="shared" ref="AR93" si="1312">+Y93/$D93</f>
        <v>0</v>
      </c>
    </row>
    <row r="94" spans="1:44" x14ac:dyDescent="0.25">
      <c r="A94">
        <f t="shared" si="16"/>
        <v>90</v>
      </c>
      <c r="B94" s="3">
        <f t="shared" si="30"/>
        <v>45430</v>
      </c>
      <c r="C94" s="41">
        <v>842</v>
      </c>
      <c r="D94" s="2">
        <v>24517603.109999999</v>
      </c>
      <c r="E94" s="44">
        <v>7.47</v>
      </c>
      <c r="F94" s="8">
        <f t="shared" ref="F94" si="1313">+D94/D$4</f>
        <v>0.54483537149983075</v>
      </c>
      <c r="G94" s="2">
        <v>172834.38</v>
      </c>
      <c r="N94" s="6">
        <f t="shared" ref="N94" si="1314">+G94/D93</f>
        <v>6.9686510137090089E-3</v>
      </c>
      <c r="O94" s="6">
        <f t="shared" ref="O94" si="1315">1-(+N94-1)^12</f>
        <v>8.0492010036405937E-2</v>
      </c>
      <c r="P94" s="27">
        <f t="shared" ref="P94" si="1316">AVERAGE(O92:O94)</f>
        <v>6.2079552442617793E-2</v>
      </c>
      <c r="Q94" s="27">
        <f t="shared" ref="Q94" si="1317">AVERAGE(O89:O94)</f>
        <v>4.8391752370318265E-2</v>
      </c>
      <c r="R94" s="27">
        <f t="shared" ref="R94" si="1318">AVERAGE(O83:O94)</f>
        <v>4.4892100614508677E-2</v>
      </c>
      <c r="S94" s="26">
        <v>23614386.879999999</v>
      </c>
      <c r="T94" s="26">
        <v>453233.71</v>
      </c>
      <c r="U94" s="26">
        <v>85605.95</v>
      </c>
      <c r="V94" s="26">
        <v>97351.52</v>
      </c>
      <c r="W94" s="26">
        <v>0</v>
      </c>
      <c r="X94" s="26">
        <v>0</v>
      </c>
      <c r="Y94" s="26">
        <v>0</v>
      </c>
      <c r="Z94" s="26">
        <f t="shared" ref="Z94" si="1319">+Z93+Y94</f>
        <v>1038741.7899999998</v>
      </c>
      <c r="AA94" s="4">
        <f t="shared" ref="AA94" si="1320">+Z94/$D$4</f>
        <v>2.308314016292309E-2</v>
      </c>
      <c r="AB94" s="2">
        <v>18808171.23</v>
      </c>
      <c r="AC94" s="4">
        <f t="shared" ref="AC94" si="1321">+AB94/AB$4</f>
        <v>0.47495381893939392</v>
      </c>
      <c r="AD94" s="2">
        <f t="shared" ref="AD94" si="1322">+AB94*$AD$2</f>
        <v>16029691.389204547</v>
      </c>
      <c r="AE94" s="2">
        <v>1450562.08</v>
      </c>
      <c r="AF94" s="8">
        <f t="shared" ref="AF94" si="1323">+AE94/$AE$4</f>
        <v>0.32234712888888889</v>
      </c>
      <c r="AG94" s="2">
        <v>900000</v>
      </c>
      <c r="AH94" s="8">
        <f t="shared" ref="AH94" si="1324">+AG94/$AG$4</f>
        <v>1</v>
      </c>
      <c r="AI94" s="8">
        <f t="shared" ref="AI94" si="1325">+AB94/D94</f>
        <v>0.7671292803630021</v>
      </c>
      <c r="AJ94" s="2">
        <f t="shared" ref="AJ94" si="1326">AB93*1%</f>
        <v>190822.75589999999</v>
      </c>
      <c r="AK94" s="4">
        <f t="shared" ref="AK94" si="1327">((+D94+AJ94)-AB94)/D94</f>
        <v>0.2406538114442949</v>
      </c>
      <c r="AL94" s="4">
        <f t="shared" ref="AL94" si="1328">+S94/$D94</f>
        <v>0.96316050039852363</v>
      </c>
      <c r="AM94" s="4">
        <f t="shared" ref="AM94" si="1329">+T94/$D94</f>
        <v>1.8486052978610275E-2</v>
      </c>
      <c r="AN94" s="4">
        <f t="shared" ref="AN94" si="1330">+U94/$D94</f>
        <v>3.4916117051052142E-3</v>
      </c>
      <c r="AO94" s="4">
        <f t="shared" ref="AO94" si="1331">+V94/$D94</f>
        <v>3.970678518745302E-3</v>
      </c>
      <c r="AP94" s="4">
        <f t="shared" ref="AP94" si="1332">+W94/$D94</f>
        <v>0</v>
      </c>
      <c r="AQ94" s="4">
        <f t="shared" ref="AQ94" si="1333">+X94/$D94</f>
        <v>0</v>
      </c>
      <c r="AR94" s="4">
        <f t="shared" ref="AR94" si="1334">+Y94/$D94</f>
        <v>0</v>
      </c>
    </row>
    <row r="95" spans="1:44" x14ac:dyDescent="0.25">
      <c r="A95">
        <f t="shared" si="16"/>
        <v>91</v>
      </c>
      <c r="B95" s="3">
        <f t="shared" si="30"/>
        <v>45461</v>
      </c>
      <c r="C95" s="41">
        <v>839</v>
      </c>
      <c r="D95" s="2">
        <v>24303047.23</v>
      </c>
      <c r="E95" s="44">
        <v>7.47</v>
      </c>
      <c r="F95" s="8">
        <f t="shared" ref="F95" si="1335">+D95/D$4</f>
        <v>0.54006746527087346</v>
      </c>
      <c r="G95" s="2">
        <v>116952.67</v>
      </c>
      <c r="N95" s="6">
        <f t="shared" ref="N95" si="1336">+G95/D94</f>
        <v>4.7701510410819272E-3</v>
      </c>
      <c r="O95" s="6">
        <f t="shared" ref="O95" si="1337">1-(+N95-1)^12</f>
        <v>5.5763650805492171E-2</v>
      </c>
      <c r="P95" s="27">
        <f t="shared" ref="P95" si="1338">AVERAGE(O93:O95)</f>
        <v>6.0583061168915764E-2</v>
      </c>
      <c r="Q95" s="27">
        <f t="shared" ref="Q95" si="1339">AVERAGE(O90:O95)</f>
        <v>4.4166662335572482E-2</v>
      </c>
      <c r="R95" s="27">
        <f t="shared" ref="R95" si="1340">AVERAGE(O84:O95)</f>
        <v>4.7089217961887198E-2</v>
      </c>
      <c r="S95" s="26">
        <v>23527558.289999999</v>
      </c>
      <c r="T95" s="26">
        <v>342074.64</v>
      </c>
      <c r="U95" s="26">
        <v>55806.66</v>
      </c>
      <c r="V95" s="26">
        <v>76305.47</v>
      </c>
      <c r="W95" s="26">
        <v>34350.269999999997</v>
      </c>
      <c r="X95" s="26">
        <v>0</v>
      </c>
      <c r="Y95" s="26">
        <v>0</v>
      </c>
      <c r="Z95" s="26">
        <f t="shared" ref="Z95" si="1341">+Z94+Y95</f>
        <v>1038741.7899999998</v>
      </c>
      <c r="AA95" s="4">
        <f t="shared" ref="AA95" si="1342">+Z95/$D$4</f>
        <v>2.308314016292309E-2</v>
      </c>
      <c r="AB95" s="2">
        <v>18593688.5</v>
      </c>
      <c r="AC95" s="4">
        <f t="shared" ref="AC95" si="1343">+AB95/AB$4</f>
        <v>0.46953758838383841</v>
      </c>
      <c r="AD95" s="2">
        <f t="shared" ref="AD95" si="1344">+AB95*$AD$2</f>
        <v>15846893.607954545</v>
      </c>
      <c r="AE95" s="2">
        <v>1414291.97</v>
      </c>
      <c r="AF95" s="8">
        <f t="shared" ref="AF95" si="1345">+AE95/$AE$4</f>
        <v>0.31428710444444447</v>
      </c>
      <c r="AG95" s="2">
        <v>900000</v>
      </c>
      <c r="AH95" s="8">
        <f t="shared" ref="AH95" si="1346">+AG95/$AG$4</f>
        <v>1</v>
      </c>
      <c r="AI95" s="8">
        <f t="shared" ref="AI95" si="1347">+AB95/D95</f>
        <v>0.76507642535655807</v>
      </c>
      <c r="AJ95" s="2">
        <f t="shared" ref="AJ95" si="1348">AB94*1%</f>
        <v>188081.71230000001</v>
      </c>
      <c r="AK95" s="4">
        <f t="shared" ref="AK95" si="1349">((+D95+AJ95)-AB95)/D95</f>
        <v>0.24266259232793333</v>
      </c>
      <c r="AL95" s="4">
        <f t="shared" ref="AL95" si="1350">+S95/$D95</f>
        <v>0.96809087631436075</v>
      </c>
      <c r="AM95" s="4">
        <f t="shared" ref="AM95" si="1351">+T95/$D95</f>
        <v>1.4075380620490199E-2</v>
      </c>
      <c r="AN95" s="4">
        <f t="shared" ref="AN95" si="1352">+U95/$D95</f>
        <v>2.2962824156104807E-3</v>
      </c>
      <c r="AO95" s="4">
        <f t="shared" ref="AO95" si="1353">+V95/$D95</f>
        <v>3.1397490725281365E-3</v>
      </c>
      <c r="AP95" s="4">
        <f t="shared" ref="AP95" si="1354">+W95/$D95</f>
        <v>1.413414115312979E-3</v>
      </c>
      <c r="AQ95" s="4">
        <f t="shared" ref="AQ95" si="1355">+X95/$D95</f>
        <v>0</v>
      </c>
      <c r="AR95" s="4">
        <f t="shared" ref="AR95" si="1356">+Y95/$D95</f>
        <v>0</v>
      </c>
    </row>
    <row r="96" spans="1:44" x14ac:dyDescent="0.25">
      <c r="A96">
        <f t="shared" si="16"/>
        <v>92</v>
      </c>
      <c r="B96" s="3">
        <f t="shared" si="30"/>
        <v>45492</v>
      </c>
      <c r="C96" s="41">
        <v>835</v>
      </c>
      <c r="D96" s="2">
        <v>24175121.350000001</v>
      </c>
      <c r="E96" s="44">
        <v>7.47</v>
      </c>
      <c r="F96" s="8">
        <f t="shared" ref="F96" si="1357">+D96/D$4</f>
        <v>0.53722466925849266</v>
      </c>
      <c r="G96" s="2">
        <v>60515.06</v>
      </c>
      <c r="N96" s="6">
        <f t="shared" ref="N96" si="1358">+G96/D95</f>
        <v>2.4900194377806013E-3</v>
      </c>
      <c r="O96" s="6">
        <f t="shared" ref="O96" si="1359">1-(+N96-1)^12</f>
        <v>2.9474397805438035E-2</v>
      </c>
      <c r="P96" s="27">
        <f t="shared" ref="P96" si="1360">AVERAGE(O94:O96)</f>
        <v>5.5243352882445383E-2</v>
      </c>
      <c r="Q96" s="27">
        <f t="shared" ref="Q96" si="1361">AVERAGE(O91:O96)</f>
        <v>4.8954578045216281E-2</v>
      </c>
      <c r="R96" s="27">
        <f t="shared" ref="R96" si="1362">AVERAGE(O85:O96)</f>
        <v>4.4120123909900284E-2</v>
      </c>
      <c r="S96" s="26">
        <v>23274263.66</v>
      </c>
      <c r="T96" s="26">
        <v>586608.68999999994</v>
      </c>
      <c r="U96" s="26">
        <v>47346.38</v>
      </c>
      <c r="V96" s="26">
        <v>0</v>
      </c>
      <c r="W96" s="26">
        <v>0</v>
      </c>
      <c r="X96" s="26">
        <v>0</v>
      </c>
      <c r="Y96" s="26">
        <v>0</v>
      </c>
      <c r="Z96" s="26">
        <f t="shared" ref="Z96" si="1363">+Z95+Y96</f>
        <v>1038741.7899999998</v>
      </c>
      <c r="AA96" s="4">
        <f t="shared" ref="AA96" si="1364">+Z96/$D$4</f>
        <v>2.308314016292309E-2</v>
      </c>
      <c r="AB96" s="2">
        <v>18465811.899999999</v>
      </c>
      <c r="AC96" s="4">
        <f t="shared" ref="AC96" si="1365">+AB96/AB$4</f>
        <v>0.46630838131313129</v>
      </c>
      <c r="AD96" s="2">
        <f t="shared" ref="AD96" si="1366">+AB96*$AD$2</f>
        <v>15737907.869318182</v>
      </c>
      <c r="AE96" s="2">
        <v>1401806.5</v>
      </c>
      <c r="AF96" s="8">
        <f t="shared" ref="AF96" si="1367">+AE96/$AE$4</f>
        <v>0.31151255555555557</v>
      </c>
      <c r="AG96" s="2">
        <v>900000</v>
      </c>
      <c r="AH96" s="8">
        <f t="shared" ref="AH96" si="1368">+AG96/$AG$4</f>
        <v>1</v>
      </c>
      <c r="AI96" s="8">
        <f t="shared" ref="AI96" si="1369">+AB96/D96</f>
        <v>0.76383533437775264</v>
      </c>
      <c r="AJ96" s="2">
        <f t="shared" ref="AJ96" si="1370">AB95*1%</f>
        <v>185936.88500000001</v>
      </c>
      <c r="AK96" s="4">
        <f t="shared" ref="AK96" si="1371">((+D96+AJ96)-AB96)/D96</f>
        <v>0.2438559149156041</v>
      </c>
      <c r="AL96" s="4">
        <f t="shared" ref="AL96" si="1372">+S96/$D96</f>
        <v>0.96273616678246787</v>
      </c>
      <c r="AM96" s="4">
        <f t="shared" ref="AM96" si="1373">+T96/$D96</f>
        <v>2.4264973958445089E-2</v>
      </c>
      <c r="AN96" s="4">
        <f t="shared" ref="AN96" si="1374">+U96/$D96</f>
        <v>1.9584753811380555E-3</v>
      </c>
      <c r="AO96" s="4">
        <f t="shared" ref="AO96" si="1375">+V96/$D96</f>
        <v>0</v>
      </c>
      <c r="AP96" s="4">
        <f t="shared" ref="AP96" si="1376">+W96/$D96</f>
        <v>0</v>
      </c>
      <c r="AQ96" s="4">
        <f t="shared" ref="AQ96" si="1377">+X96/$D96</f>
        <v>0</v>
      </c>
      <c r="AR96" s="4">
        <f t="shared" ref="AR96" si="1378">+Y96/$D96</f>
        <v>0</v>
      </c>
    </row>
    <row r="97" spans="1:44" x14ac:dyDescent="0.25">
      <c r="A97">
        <f t="shared" si="16"/>
        <v>93</v>
      </c>
      <c r="B97" s="3">
        <f t="shared" si="30"/>
        <v>45523</v>
      </c>
      <c r="C97" s="41">
        <v>833</v>
      </c>
      <c r="D97" s="2">
        <v>23990358.300000001</v>
      </c>
      <c r="E97" s="44">
        <v>7.47</v>
      </c>
      <c r="F97" s="8">
        <f t="shared" ref="F97" si="1379">+D97/D$4</f>
        <v>0.53311882561078572</v>
      </c>
      <c r="G97" s="2">
        <v>66903.06</v>
      </c>
      <c r="N97" s="6">
        <f t="shared" ref="N97" si="1380">+G97/D96</f>
        <v>2.7674342987320721E-3</v>
      </c>
      <c r="O97" s="6">
        <f t="shared" ref="O97" si="1381">1-(+N97-1)^12</f>
        <v>3.2708371851256524E-2</v>
      </c>
      <c r="P97" s="27">
        <f t="shared" ref="P97" si="1382">AVERAGE(O95:O97)</f>
        <v>3.9315473487395579E-2</v>
      </c>
      <c r="Q97" s="27">
        <f t="shared" ref="Q97" si="1383">AVERAGE(O92:O97)</f>
        <v>5.0697512965006686E-2</v>
      </c>
      <c r="R97" s="27">
        <f t="shared" ref="R97" si="1384">AVERAGE(O86:O97)</f>
        <v>4.5353799682263031E-2</v>
      </c>
      <c r="S97" s="26">
        <v>23172045.899999999</v>
      </c>
      <c r="T97" s="26">
        <v>360626.68</v>
      </c>
      <c r="U97" s="26">
        <v>156749.24</v>
      </c>
      <c r="V97" s="26">
        <v>42682.07</v>
      </c>
      <c r="W97" s="26">
        <v>0</v>
      </c>
      <c r="X97" s="26">
        <v>0</v>
      </c>
      <c r="Y97" s="26">
        <v>0</v>
      </c>
      <c r="Z97" s="26">
        <f t="shared" ref="Z97" si="1385">+Z96+Y97</f>
        <v>1038741.7899999998</v>
      </c>
      <c r="AA97" s="4">
        <f t="shared" ref="AA97" si="1386">+Z97/$D$4</f>
        <v>2.308314016292309E-2</v>
      </c>
      <c r="AB97" s="2">
        <v>18289697.059999999</v>
      </c>
      <c r="AC97" s="4">
        <f t="shared" ref="AC97" si="1387">+AB97/AB$4</f>
        <v>0.46186103686868685</v>
      </c>
      <c r="AD97" s="2">
        <f t="shared" ref="AD97" si="1388">+AB97*$AD$2</f>
        <v>15587809.994318182</v>
      </c>
      <c r="AE97" s="2">
        <v>1336837.55</v>
      </c>
      <c r="AF97" s="8">
        <f t="shared" ref="AF97" si="1389">+AE97/$AE$4</f>
        <v>0.29707501111111112</v>
      </c>
      <c r="AG97" s="2">
        <v>900000</v>
      </c>
      <c r="AH97" s="8">
        <f t="shared" ref="AH97" si="1390">+AG97/$AG$4</f>
        <v>1</v>
      </c>
      <c r="AI97" s="8">
        <f t="shared" ref="AI97" si="1391">+AB97/D97</f>
        <v>0.76237698625785</v>
      </c>
      <c r="AJ97" s="2">
        <f t="shared" ref="AJ97" si="1392">AB96*1%</f>
        <v>184658.11899999998</v>
      </c>
      <c r="AK97" s="4">
        <f t="shared" ref="AK97" si="1393">((+D97+AJ97)-AB97)/D97</f>
        <v>0.24532019427988289</v>
      </c>
      <c r="AL97" s="4">
        <f t="shared" ref="AL97" si="1394">+S97/$D97</f>
        <v>0.96588994671246731</v>
      </c>
      <c r="AM97" s="4">
        <f t="shared" ref="AM97" si="1395">+T97/$D97</f>
        <v>1.5032150645286527E-2</v>
      </c>
      <c r="AN97" s="4">
        <f t="shared" ref="AN97" si="1396">+U97/$D97</f>
        <v>6.5338432231752033E-3</v>
      </c>
      <c r="AO97" s="4">
        <f t="shared" ref="AO97" si="1397">+V97/$D97</f>
        <v>1.7791343283105529E-3</v>
      </c>
      <c r="AP97" s="4">
        <f t="shared" ref="AP97" si="1398">+W97/$D97</f>
        <v>0</v>
      </c>
      <c r="AQ97" s="4">
        <f t="shared" ref="AQ97" si="1399">+X97/$D97</f>
        <v>0</v>
      </c>
      <c r="AR97" s="4">
        <f t="shared" ref="AR97" si="1400">+Y97/$D97</f>
        <v>0</v>
      </c>
    </row>
    <row r="98" spans="1:44" x14ac:dyDescent="0.25">
      <c r="A98">
        <f t="shared" si="16"/>
        <v>94</v>
      </c>
      <c r="B98" s="3">
        <f t="shared" si="30"/>
        <v>45554</v>
      </c>
      <c r="C98" s="41">
        <v>830</v>
      </c>
      <c r="D98" s="2">
        <v>23813056.440000001</v>
      </c>
      <c r="E98" s="44">
        <v>7.47</v>
      </c>
      <c r="F98" s="8">
        <f t="shared" ref="F98" si="1401">+D98/D$4</f>
        <v>0.52917878610825742</v>
      </c>
      <c r="G98" s="2">
        <v>95399.82</v>
      </c>
      <c r="N98" s="6">
        <f t="shared" ref="N98" si="1402">+G98/D97</f>
        <v>3.9765900453433414E-3</v>
      </c>
      <c r="O98" s="6">
        <f t="shared" ref="O98" si="1403">1-(+N98-1)^12</f>
        <v>4.668911606978865E-2</v>
      </c>
      <c r="P98" s="27">
        <f t="shared" ref="P98" si="1404">AVERAGE(O96:O98)</f>
        <v>3.6290628575494401E-2</v>
      </c>
      <c r="Q98" s="27">
        <f t="shared" ref="Q98" si="1405">AVERAGE(O93:O98)</f>
        <v>4.8436844872205086E-2</v>
      </c>
      <c r="R98" s="27">
        <f t="shared" ref="R98" si="1406">AVERAGE(O87:O98)</f>
        <v>4.3232059639265595E-2</v>
      </c>
      <c r="S98" s="26">
        <v>23000305.609999999</v>
      </c>
      <c r="T98" s="26">
        <v>302804.76</v>
      </c>
      <c r="U98" s="26">
        <v>218987.81</v>
      </c>
      <c r="V98" s="26">
        <v>17256.25</v>
      </c>
      <c r="W98" s="26">
        <v>15539.76</v>
      </c>
      <c r="X98" s="26">
        <v>0</v>
      </c>
      <c r="Y98" s="26">
        <v>0</v>
      </c>
      <c r="Z98" s="26">
        <f t="shared" ref="Z98" si="1407">+Z97+Y98</f>
        <v>1038741.7899999998</v>
      </c>
      <c r="AA98" s="4">
        <f t="shared" ref="AA98" si="1408">+Z98/$D$4</f>
        <v>2.308314016292309E-2</v>
      </c>
      <c r="AB98" s="2">
        <v>18112487.359999999</v>
      </c>
      <c r="AC98" s="4">
        <f t="shared" ref="AC98" si="1409">+AB98/AB$4</f>
        <v>0.45738604444444442</v>
      </c>
      <c r="AD98" s="2">
        <f t="shared" ref="AD98" si="1410">+AB98*$AD$2</f>
        <v>15436779</v>
      </c>
      <c r="AE98" s="2">
        <v>1303524.1100000001</v>
      </c>
      <c r="AF98" s="8">
        <f t="shared" ref="AF98" si="1411">+AE98/$AE$4</f>
        <v>0.28967202444444445</v>
      </c>
      <c r="AG98" s="2">
        <v>900000</v>
      </c>
      <c r="AH98" s="8">
        <f t="shared" ref="AH98" si="1412">+AG98/$AG$4</f>
        <v>1</v>
      </c>
      <c r="AI98" s="8">
        <f t="shared" ref="AI98" si="1413">+AB98/D98</f>
        <v>0.76061161680932032</v>
      </c>
      <c r="AJ98" s="2">
        <f t="shared" ref="AJ98" si="1414">AB97*1%</f>
        <v>182896.9706</v>
      </c>
      <c r="AK98" s="4">
        <f t="shared" ref="AK98" si="1415">((+D98+AJ98)-AB98)/D98</f>
        <v>0.24706891639148204</v>
      </c>
      <c r="AL98" s="4">
        <f t="shared" ref="AL98" si="1416">+S98/$D98</f>
        <v>0.96586952909435086</v>
      </c>
      <c r="AM98" s="4">
        <f t="shared" ref="AM98" si="1417">+T98/$D98</f>
        <v>1.2715913253846889E-2</v>
      </c>
      <c r="AN98" s="4">
        <f t="shared" ref="AN98" si="1418">+U98/$D98</f>
        <v>9.1961235867292976E-3</v>
      </c>
      <c r="AO98" s="4">
        <f t="shared" ref="AO98" si="1419">+V98/$D98</f>
        <v>7.2465498259239832E-4</v>
      </c>
      <c r="AP98" s="4">
        <f t="shared" ref="AP98" si="1420">+W98/$D98</f>
        <v>6.525730974163012E-4</v>
      </c>
      <c r="AQ98" s="4">
        <f t="shared" ref="AQ98" si="1421">+X98/$D98</f>
        <v>0</v>
      </c>
      <c r="AR98" s="4">
        <f t="shared" ref="AR98" si="1422">+Y98/$D98</f>
        <v>0</v>
      </c>
    </row>
    <row r="99" spans="1:44" x14ac:dyDescent="0.25">
      <c r="A99">
        <f t="shared" si="16"/>
        <v>95</v>
      </c>
      <c r="B99" s="3">
        <f t="shared" si="30"/>
        <v>45585</v>
      </c>
      <c r="C99" s="41">
        <v>826</v>
      </c>
      <c r="D99" s="2">
        <v>23590923.48</v>
      </c>
      <c r="E99" s="44">
        <v>7.47</v>
      </c>
      <c r="F99" s="8">
        <f t="shared" ref="F99" si="1423">+D99/D$4</f>
        <v>0.52424250040198483</v>
      </c>
      <c r="G99" s="2">
        <v>142437.95000000001</v>
      </c>
      <c r="N99" s="6">
        <f t="shared" ref="N99" si="1424">+G99/D98</f>
        <v>5.9815064210211903E-3</v>
      </c>
      <c r="O99" s="6">
        <f t="shared" ref="O99" si="1425">1-(+N99-1)^12</f>
        <v>6.9463155714526104E-2</v>
      </c>
      <c r="P99" s="27">
        <f t="shared" ref="P99" si="1426">AVERAGE(O97:O99)</f>
        <v>4.9620214545190423E-2</v>
      </c>
      <c r="Q99" s="27">
        <f t="shared" ref="Q99" si="1427">AVERAGE(O94:O99)</f>
        <v>5.2431783713817903E-2</v>
      </c>
      <c r="R99" s="27">
        <f t="shared" ref="R99" si="1428">AVERAGE(O88:O99)</f>
        <v>4.5693999204500672E-2</v>
      </c>
      <c r="S99" s="26">
        <v>22755764.789999999</v>
      </c>
      <c r="T99" s="26">
        <v>369298.08</v>
      </c>
      <c r="U99" s="26">
        <v>123911.03999999999</v>
      </c>
      <c r="V99" s="26">
        <v>59523.99</v>
      </c>
      <c r="W99" s="26">
        <v>24263.33</v>
      </c>
      <c r="X99" s="26">
        <v>0</v>
      </c>
      <c r="Y99" s="26">
        <v>0</v>
      </c>
      <c r="Z99" s="26">
        <f t="shared" ref="Z99" si="1429">+Z98+Y99</f>
        <v>1038741.7899999998</v>
      </c>
      <c r="AA99" s="4">
        <f t="shared" ref="AA99" si="1430">+Z99/$D$4</f>
        <v>2.308314016292309E-2</v>
      </c>
      <c r="AB99" s="2">
        <v>17890354.399999999</v>
      </c>
      <c r="AC99" s="4">
        <f t="shared" ref="AC99" si="1431">+AB99/AB$4</f>
        <v>0.45177662626262621</v>
      </c>
      <c r="AD99" s="2">
        <f t="shared" ref="AD99" si="1432">+AB99*$AD$2</f>
        <v>15247461.136363635</v>
      </c>
      <c r="AE99" s="2">
        <v>1270940.2</v>
      </c>
      <c r="AF99" s="8">
        <f t="shared" ref="AF99" si="1433">+AE99/$AE$4</f>
        <v>0.28243115555555554</v>
      </c>
      <c r="AG99" s="2">
        <v>900000</v>
      </c>
      <c r="AH99" s="8">
        <f t="shared" ref="AH99" si="1434">+AG99/$AG$4</f>
        <v>1</v>
      </c>
      <c r="AI99" s="8">
        <f t="shared" ref="AI99" si="1435">+AB99/D99</f>
        <v>0.75835752742647611</v>
      </c>
      <c r="AJ99" s="2">
        <f t="shared" ref="AJ99" si="1436">AB98*1%</f>
        <v>181124.87359999999</v>
      </c>
      <c r="AK99" s="4">
        <f t="shared" ref="AK99" si="1437">((+D99+AJ99)-AB99)/D99</f>
        <v>0.2493202081972927</v>
      </c>
      <c r="AL99" s="4">
        <f t="shared" ref="AL99" si="1438">+S99/$D99</f>
        <v>0.96459830448316131</v>
      </c>
      <c r="AM99" s="4">
        <f t="shared" ref="AM99" si="1439">+T99/$D99</f>
        <v>1.5654244324648202E-2</v>
      </c>
      <c r="AN99" s="4">
        <f t="shared" ref="AN99" si="1440">+U99/$D99</f>
        <v>5.2524878945518919E-3</v>
      </c>
      <c r="AO99" s="4">
        <f t="shared" ref="AO99" si="1441">+V99/$D99</f>
        <v>2.5231733743048875E-3</v>
      </c>
      <c r="AP99" s="4">
        <f t="shared" ref="AP99" si="1442">+W99/$D99</f>
        <v>1.0285027638095667E-3</v>
      </c>
      <c r="AQ99" s="4">
        <f t="shared" ref="AQ99" si="1443">+X99/$D99</f>
        <v>0</v>
      </c>
      <c r="AR99" s="4">
        <f t="shared" ref="AR99" si="1444">+Y99/$D99</f>
        <v>0</v>
      </c>
    </row>
    <row r="100" spans="1:44" x14ac:dyDescent="0.25">
      <c r="A100">
        <f t="shared" si="16"/>
        <v>96</v>
      </c>
      <c r="B100" s="3">
        <f t="shared" si="30"/>
        <v>45616</v>
      </c>
      <c r="C100" s="41">
        <v>820</v>
      </c>
      <c r="D100" s="2">
        <v>23316455.780000001</v>
      </c>
      <c r="E100" s="44">
        <v>7.47</v>
      </c>
      <c r="F100" s="8">
        <f t="shared" ref="F100" si="1445">+D100/D$4</f>
        <v>0.51814322101389443</v>
      </c>
      <c r="G100" s="2">
        <v>181600.95</v>
      </c>
      <c r="N100" s="6">
        <f t="shared" ref="N100" si="1446">+G100/D99</f>
        <v>7.6979161139646918E-3</v>
      </c>
      <c r="O100" s="6">
        <f t="shared" ref="O100" si="1447">1-(+N100-1)^12</f>
        <v>8.8562609904555001E-2</v>
      </c>
      <c r="P100" s="27">
        <f t="shared" ref="P100" si="1448">AVERAGE(O98:O100)</f>
        <v>6.8238293896289923E-2</v>
      </c>
      <c r="Q100" s="27">
        <f t="shared" ref="Q100" si="1449">AVERAGE(O95:O100)</f>
        <v>5.3776883691842747E-2</v>
      </c>
      <c r="R100" s="27">
        <f t="shared" ref="R100" si="1450">AVERAGE(O89:O100)</f>
        <v>5.108431803108051E-2</v>
      </c>
      <c r="S100" s="26">
        <v>22373189.399999999</v>
      </c>
      <c r="T100" s="26">
        <v>441703</v>
      </c>
      <c r="U100" s="26">
        <v>159645.24</v>
      </c>
      <c r="V100" s="26">
        <v>59714.879999999997</v>
      </c>
      <c r="W100" s="26">
        <v>8532.68</v>
      </c>
      <c r="X100" s="26">
        <v>15539.76</v>
      </c>
      <c r="Y100" s="26">
        <v>0</v>
      </c>
      <c r="Z100" s="26">
        <f t="shared" ref="Z100" si="1451">+Z99+Y100</f>
        <v>1038741.7899999998</v>
      </c>
      <c r="AA100" s="4">
        <f t="shared" ref="AA100" si="1452">+Z100/$D$4</f>
        <v>2.308314016292309E-2</v>
      </c>
      <c r="AB100" s="2">
        <v>17615918.129999999</v>
      </c>
      <c r="AC100" s="4">
        <f t="shared" ref="AC100" si="1453">+AB100/AB$4</f>
        <v>0.44484641742424241</v>
      </c>
      <c r="AD100" s="2">
        <f t="shared" ref="AD100" si="1454">+AB100*$AD$2</f>
        <v>15013566.588068182</v>
      </c>
      <c r="AE100" s="2">
        <v>1236339.07</v>
      </c>
      <c r="AF100" s="8">
        <f t="shared" ref="AF100" si="1455">+AE100/$AE$4</f>
        <v>0.27474201555555555</v>
      </c>
      <c r="AG100" s="2">
        <v>900000</v>
      </c>
      <c r="AH100" s="8">
        <f t="shared" ref="AH100" si="1456">+AG100/$AG$4</f>
        <v>1</v>
      </c>
      <c r="AI100" s="8">
        <f t="shared" ref="AI100" si="1457">+AB100/D100</f>
        <v>0.75551440134011649</v>
      </c>
      <c r="AJ100" s="2">
        <f t="shared" ref="AJ100" si="1458">AB99*1%</f>
        <v>178903.54399999999</v>
      </c>
      <c r="AK100" s="4">
        <f t="shared" ref="AK100" si="1459">((+D100+AJ100)-AB100)/D100</f>
        <v>0.25215844335326343</v>
      </c>
      <c r="AL100" s="4">
        <f t="shared" ref="AL100" si="1460">+S100/$D100</f>
        <v>0.95954503596515295</v>
      </c>
      <c r="AM100" s="4">
        <f t="shared" ref="AM100" si="1461">+T100/$D100</f>
        <v>1.8943831093698064E-2</v>
      </c>
      <c r="AN100" s="4">
        <f t="shared" ref="AN100" si="1462">+U100/$D100</f>
        <v>6.8468913760442876E-3</v>
      </c>
      <c r="AO100" s="4">
        <f t="shared" ref="AO100" si="1463">+V100/$D100</f>
        <v>2.5610616194602451E-3</v>
      </c>
      <c r="AP100" s="4">
        <f t="shared" ref="AP100" si="1464">+W100/$D100</f>
        <v>3.6595098674126192E-4</v>
      </c>
      <c r="AQ100" s="4">
        <f t="shared" ref="AQ100" si="1465">+X100/$D100</f>
        <v>6.6647178913569849E-4</v>
      </c>
      <c r="AR100" s="4">
        <f t="shared" ref="AR100" si="1466">+Y100/$D100</f>
        <v>0</v>
      </c>
    </row>
    <row r="101" spans="1:44" x14ac:dyDescent="0.25">
      <c r="A101">
        <f t="shared" si="16"/>
        <v>97</v>
      </c>
      <c r="B101" s="3">
        <f t="shared" si="30"/>
        <v>45647</v>
      </c>
      <c r="C101" s="41">
        <v>817</v>
      </c>
      <c r="D101" s="2">
        <v>23139813.140000001</v>
      </c>
      <c r="E101" s="44">
        <v>7.47</v>
      </c>
      <c r="F101" s="8">
        <f t="shared" ref="F101" si="1467">+D101/D$4</f>
        <v>0.51421783083789241</v>
      </c>
      <c r="G101" s="2">
        <v>50131.03</v>
      </c>
      <c r="N101" s="6">
        <f t="shared" ref="N101" si="1468">+G101/D100</f>
        <v>2.1500278804380104E-3</v>
      </c>
      <c r="O101" s="6">
        <f t="shared" ref="O101" si="1469">1-(+N101-1)^12</f>
        <v>2.5497417639128828E-2</v>
      </c>
      <c r="P101" s="27">
        <f t="shared" ref="P101" si="1470">AVERAGE(O99:O101)</f>
        <v>6.1174394419403311E-2</v>
      </c>
      <c r="Q101" s="27">
        <f t="shared" ref="Q101" si="1471">AVERAGE(O96:O101)</f>
        <v>4.8732511497448859E-2</v>
      </c>
      <c r="R101" s="27">
        <f t="shared" ref="R101" si="1472">AVERAGE(O90:O101)</f>
        <v>4.6449586916510667E-2</v>
      </c>
      <c r="S101" s="26">
        <v>22142729.420000002</v>
      </c>
      <c r="T101" s="26">
        <v>435378.94</v>
      </c>
      <c r="U101" s="26">
        <v>200285.92</v>
      </c>
      <c r="V101" s="26">
        <v>87973.26</v>
      </c>
      <c r="W101" s="26">
        <v>0</v>
      </c>
      <c r="X101" s="26">
        <v>8532.68</v>
      </c>
      <c r="Y101" s="26">
        <v>0</v>
      </c>
      <c r="Z101" s="26">
        <f t="shared" ref="Z101" si="1473">+Z100+Y101</f>
        <v>1038741.7899999998</v>
      </c>
      <c r="AA101" s="4">
        <f t="shared" ref="AA101" si="1474">+Z101/$D$4</f>
        <v>2.308314016292309E-2</v>
      </c>
      <c r="AB101" s="2">
        <v>17432493.390000001</v>
      </c>
      <c r="AC101" s="4">
        <f t="shared" ref="AC101" si="1475">+AB101/AB$4</f>
        <v>0.44021447954545456</v>
      </c>
      <c r="AD101" s="2">
        <f t="shared" ref="AD101" si="1476">+AB101*$AD$2</f>
        <v>14857238.684659092</v>
      </c>
      <c r="AE101" s="2">
        <v>1213416.6200000001</v>
      </c>
      <c r="AF101" s="8">
        <f t="shared" ref="AF101" si="1477">+AE101/$AE$4</f>
        <v>0.2696481377777778</v>
      </c>
      <c r="AG101" s="2">
        <v>900000</v>
      </c>
      <c r="AH101" s="8">
        <f t="shared" ref="AH101" si="1478">+AG101/$AG$4</f>
        <v>1</v>
      </c>
      <c r="AI101" s="8">
        <f t="shared" ref="AI101" si="1479">+AB101/D101</f>
        <v>0.75335497674636798</v>
      </c>
      <c r="AJ101" s="2">
        <f t="shared" ref="AJ101" si="1480">AB100*1%</f>
        <v>176159.1813</v>
      </c>
      <c r="AK101" s="4">
        <f t="shared" ref="AK101" si="1481">((+D101+AJ101)-AB101)/D101</f>
        <v>0.25425784105100163</v>
      </c>
      <c r="AL101" s="4">
        <f t="shared" ref="AL101" si="1482">+S101/$D101</f>
        <v>0.95691046794684709</v>
      </c>
      <c r="AM101" s="4">
        <f t="shared" ref="AM101" si="1483">+T101/$D101</f>
        <v>1.881514502152112E-2</v>
      </c>
      <c r="AN101" s="4">
        <f t="shared" ref="AN101" si="1484">+U101/$D101</f>
        <v>8.6554683388424293E-3</v>
      </c>
      <c r="AO101" s="4">
        <f t="shared" ref="AO101" si="1485">+V101/$D101</f>
        <v>3.8018137600224367E-3</v>
      </c>
      <c r="AP101" s="4">
        <f t="shared" ref="AP101" si="1486">+W101/$D101</f>
        <v>0</v>
      </c>
      <c r="AQ101" s="4">
        <f t="shared" ref="AQ101" si="1487">+X101/$D101</f>
        <v>3.6874455071766408E-4</v>
      </c>
      <c r="AR101" s="4">
        <f t="shared" ref="AR101" si="1488">+Y101/$D101</f>
        <v>0</v>
      </c>
    </row>
    <row r="102" spans="1:44" x14ac:dyDescent="0.25">
      <c r="A102">
        <f t="shared" si="16"/>
        <v>98</v>
      </c>
      <c r="B102" s="3">
        <f t="shared" si="30"/>
        <v>45678</v>
      </c>
      <c r="C102" s="41">
        <v>814</v>
      </c>
      <c r="D102" s="2">
        <v>22976317</v>
      </c>
      <c r="E102" s="44">
        <v>7.47</v>
      </c>
      <c r="F102" s="8">
        <f t="shared" ref="F102" si="1489">+D102/D$4</f>
        <v>0.51058458497058512</v>
      </c>
      <c r="G102" s="2">
        <v>7093.25</v>
      </c>
      <c r="N102" s="6">
        <f t="shared" ref="N102" si="1490">+G102/D101</f>
        <v>3.0653877613810325E-4</v>
      </c>
      <c r="O102" s="6">
        <f t="shared" ref="O102" si="1491">1-(+N102-1)^12</f>
        <v>3.6722698888143057E-3</v>
      </c>
      <c r="P102" s="27">
        <f t="shared" ref="P102" si="1492">AVERAGE(O100:O102)</f>
        <v>3.9244099144166045E-2</v>
      </c>
      <c r="Q102" s="27">
        <f t="shared" ref="Q102" si="1493">AVERAGE(O97:O102)</f>
        <v>4.4432156844678238E-2</v>
      </c>
      <c r="R102" s="27">
        <f t="shared" ref="R102" si="1494">AVERAGE(O91:O102)</f>
        <v>4.6693367444947259E-2</v>
      </c>
      <c r="S102" s="26">
        <v>22125340.870000001</v>
      </c>
      <c r="T102" s="26">
        <v>422706.04</v>
      </c>
      <c r="U102" s="26">
        <v>114314.73</v>
      </c>
      <c r="V102" s="26">
        <v>40509.760000000002</v>
      </c>
      <c r="W102" s="26">
        <v>15539.76</v>
      </c>
      <c r="X102" s="26">
        <v>8532.68</v>
      </c>
      <c r="Y102" s="26">
        <v>0</v>
      </c>
      <c r="Z102" s="26">
        <f t="shared" ref="Z102" si="1495">+Z101+Y102</f>
        <v>1038741.7899999998</v>
      </c>
      <c r="AA102" s="4">
        <f t="shared" ref="AA102" si="1496">+Z102/$D$4</f>
        <v>2.308314016292309E-2</v>
      </c>
      <c r="AB102" s="2">
        <v>17284537.010000002</v>
      </c>
      <c r="AC102" s="4">
        <f t="shared" ref="AC102" si="1497">+AB102/AB$4</f>
        <v>0.43647820732323239</v>
      </c>
      <c r="AD102" s="2">
        <f t="shared" ref="AD102" si="1498">+AB102*$AD$2</f>
        <v>14731139.497159092</v>
      </c>
      <c r="AE102" s="2">
        <v>1160047.92</v>
      </c>
      <c r="AF102" s="8">
        <f t="shared" ref="AF102" si="1499">+AE102/$AE$4</f>
        <v>0.25778842666666663</v>
      </c>
      <c r="AG102" s="2">
        <v>900000</v>
      </c>
      <c r="AH102" s="8">
        <f t="shared" ref="AH102" si="1500">+AG102/$AG$4</f>
        <v>1</v>
      </c>
      <c r="AI102" s="8">
        <f t="shared" ref="AI102" si="1501">+AB102/D102</f>
        <v>0.75227622468823008</v>
      </c>
      <c r="AJ102" s="2">
        <f t="shared" ref="AJ102" si="1502">AB101*1%</f>
        <v>174324.9339</v>
      </c>
      <c r="AK102" s="4">
        <f t="shared" ref="AK102" si="1503">((+D102+AJ102)-AB102)/D102</f>
        <v>0.25531093272694649</v>
      </c>
      <c r="AL102" s="4">
        <f t="shared" ref="AL102" si="1504">+S102/$D102</f>
        <v>0.96296290088616032</v>
      </c>
      <c r="AM102" s="4">
        <f t="shared" ref="AM102" si="1505">+T102/$D102</f>
        <v>1.8397467270320128E-2</v>
      </c>
      <c r="AN102" s="4">
        <f t="shared" ref="AN102" si="1506">+U102/$D102</f>
        <v>4.9753287265317586E-3</v>
      </c>
      <c r="AO102" s="4">
        <f t="shared" ref="AO102" si="1507">+V102/$D102</f>
        <v>1.7631093791054503E-3</v>
      </c>
      <c r="AP102" s="4">
        <f t="shared" ref="AP102" si="1508">+W102/$D102</f>
        <v>6.763381615948283E-4</v>
      </c>
      <c r="AQ102" s="4">
        <f t="shared" ref="AQ102" si="1509">+X102/$D102</f>
        <v>3.7136848346930453E-4</v>
      </c>
      <c r="AR102" s="4">
        <f t="shared" ref="AR102" si="1510">+Y102/$D102</f>
        <v>0</v>
      </c>
    </row>
    <row r="103" spans="1:44" x14ac:dyDescent="0.25">
      <c r="A103">
        <f t="shared" si="16"/>
        <v>99</v>
      </c>
      <c r="B103" s="3">
        <f t="shared" si="30"/>
        <v>45709</v>
      </c>
      <c r="C103" s="41">
        <v>812</v>
      </c>
      <c r="D103" s="2">
        <v>22856335.370000001</v>
      </c>
      <c r="E103" s="44">
        <v>7.46</v>
      </c>
      <c r="F103" s="8">
        <f t="shared" ref="F103" si="1511">+D103/D$4</f>
        <v>0.50791832776506152</v>
      </c>
      <c r="G103" s="2">
        <v>33560.6</v>
      </c>
      <c r="N103" s="6">
        <f t="shared" ref="N103" si="1512">+G103/D102</f>
        <v>1.4606605575645565E-3</v>
      </c>
      <c r="O103" s="6">
        <f t="shared" ref="O103" si="1513">1-(+N103-1)^12</f>
        <v>1.738779711101579E-2</v>
      </c>
      <c r="P103" s="27">
        <f t="shared" ref="P103" si="1514">AVERAGE(O101:O103)</f>
        <v>1.5519161546319641E-2</v>
      </c>
      <c r="Q103" s="27">
        <f t="shared" ref="Q103" si="1515">AVERAGE(O98:O103)</f>
        <v>4.1878727721304777E-2</v>
      </c>
      <c r="R103" s="27">
        <f t="shared" ref="R103" si="1516">AVERAGE(O92:O103)</f>
        <v>4.6288120343155735E-2</v>
      </c>
      <c r="S103" s="26">
        <v>21937207.539999999</v>
      </c>
      <c r="T103" s="26">
        <v>447016.31</v>
      </c>
      <c r="U103" s="26">
        <v>176059.47</v>
      </c>
      <c r="V103" s="26">
        <v>0</v>
      </c>
      <c r="W103" s="26">
        <v>38146.21</v>
      </c>
      <c r="X103" s="26">
        <v>0</v>
      </c>
      <c r="Y103" s="26">
        <v>0</v>
      </c>
      <c r="Z103" s="26">
        <f t="shared" ref="Z103" si="1517">+Z102+Y103</f>
        <v>1038741.7899999998</v>
      </c>
      <c r="AA103" s="4">
        <f t="shared" ref="AA103" si="1518">+Z103/$D$4</f>
        <v>2.308314016292309E-2</v>
      </c>
      <c r="AB103" s="2">
        <v>17156022.699999999</v>
      </c>
      <c r="AC103" s="4">
        <f t="shared" ref="AC103" si="1519">+AB103/AB$4</f>
        <v>0.43323289646464647</v>
      </c>
      <c r="AD103" s="2">
        <f t="shared" ref="AD103" si="1520">+AB103*$AD$2</f>
        <v>14621610.255681818</v>
      </c>
      <c r="AE103" s="2">
        <v>1132799.3799999999</v>
      </c>
      <c r="AF103" s="8">
        <f t="shared" ref="AF103" si="1521">+AE103/$AE$4</f>
        <v>0.25173319555555551</v>
      </c>
      <c r="AG103" s="2">
        <v>900000</v>
      </c>
      <c r="AH103" s="8">
        <f t="shared" ref="AH103" si="1522">+AG103/$AG$4</f>
        <v>1</v>
      </c>
      <c r="AI103" s="8">
        <f t="shared" ref="AI103" si="1523">+AB103/D103</f>
        <v>0.75060251008208756</v>
      </c>
      <c r="AJ103" s="2">
        <f t="shared" ref="AJ103" si="1524">AB102*1%</f>
        <v>172845.37010000003</v>
      </c>
      <c r="AK103" s="4">
        <f t="shared" ref="AK103" si="1525">((+D103+AJ103)-AB103)/D103</f>
        <v>0.25695974201572108</v>
      </c>
      <c r="AL103" s="4">
        <f t="shared" ref="AL103" si="1526">+S103/$D103</f>
        <v>0.95978673680093096</v>
      </c>
      <c r="AM103" s="4">
        <f t="shared" ref="AM103" si="1527">+T103/$D103</f>
        <v>1.9557654486761233E-2</v>
      </c>
      <c r="AN103" s="4">
        <f t="shared" ref="AN103" si="1528">+U103/$D103</f>
        <v>7.7028739362604128E-3</v>
      </c>
      <c r="AO103" s="4">
        <f t="shared" ref="AO103" si="1529">+V103/$D103</f>
        <v>0</v>
      </c>
      <c r="AP103" s="4">
        <f t="shared" ref="AP103" si="1530">+W103/$D103</f>
        <v>1.6689556476349515E-3</v>
      </c>
      <c r="AQ103" s="4">
        <f t="shared" ref="AQ103" si="1531">+X103/$D103</f>
        <v>0</v>
      </c>
      <c r="AR103" s="4">
        <f t="shared" ref="AR103" si="1532">+Y103/$D103</f>
        <v>0</v>
      </c>
    </row>
    <row r="104" spans="1:44" x14ac:dyDescent="0.25">
      <c r="A104">
        <f t="shared" si="16"/>
        <v>100</v>
      </c>
      <c r="B104" s="3">
        <f t="shared" si="30"/>
        <v>45740</v>
      </c>
      <c r="C104" s="41">
        <v>808</v>
      </c>
      <c r="D104" s="2">
        <v>22694923.489999998</v>
      </c>
      <c r="E104" s="44">
        <v>7.46</v>
      </c>
      <c r="F104" s="8">
        <f t="shared" ref="F104" si="1533">+D104/D$4</f>
        <v>0.50433139876512112</v>
      </c>
      <c r="G104" s="2">
        <v>63145.42</v>
      </c>
      <c r="N104" s="6">
        <f t="shared" ref="N104" si="1534">+G104/D103</f>
        <v>2.7627097248004722E-3</v>
      </c>
      <c r="O104" s="6">
        <f t="shared" ref="O104" si="1535">1-(+N104-1)^12</f>
        <v>3.2653377739924494E-2</v>
      </c>
      <c r="P104" s="27">
        <f t="shared" ref="P104" si="1536">AVERAGE(O102:O104)</f>
        <v>1.7904481579918197E-2</v>
      </c>
      <c r="Q104" s="27">
        <f t="shared" ref="Q104" si="1537">AVERAGE(O99:O104)</f>
        <v>3.9539437999660754E-2</v>
      </c>
      <c r="R104" s="27">
        <f t="shared" ref="R104" si="1538">AVERAGE(O93:O104)</f>
        <v>4.3988141435932916E-2</v>
      </c>
      <c r="S104" s="26">
        <v>21609143.510000002</v>
      </c>
      <c r="T104" s="26">
        <v>539674.31000000006</v>
      </c>
      <c r="U104" s="26">
        <v>258356.07</v>
      </c>
      <c r="V104" s="26">
        <v>14336.36</v>
      </c>
      <c r="W104" s="26">
        <v>0</v>
      </c>
      <c r="X104" s="26">
        <v>15539.76</v>
      </c>
      <c r="Y104" s="26">
        <v>0</v>
      </c>
      <c r="Z104" s="26">
        <f t="shared" ref="Z104" si="1539">+Z103+Y104</f>
        <v>1038741.7899999998</v>
      </c>
      <c r="AA104" s="4">
        <f t="shared" ref="AA104" si="1540">+Z104/$D$4</f>
        <v>2.308314016292309E-2</v>
      </c>
      <c r="AB104" s="2">
        <v>16994643.18</v>
      </c>
      <c r="AC104" s="4">
        <f t="shared" ref="AC104" si="1541">+AB104/AB$4</f>
        <v>0.42915765606060607</v>
      </c>
      <c r="AD104" s="2">
        <f t="shared" ref="AD104" si="1542">+AB104*$AD$2</f>
        <v>14484070.892045455</v>
      </c>
      <c r="AE104" s="2">
        <v>1104961.95</v>
      </c>
      <c r="AF104" s="8">
        <f t="shared" ref="AF104" si="1543">+AE104/$AE$4</f>
        <v>0.24554709999999999</v>
      </c>
      <c r="AG104" s="2">
        <v>900000</v>
      </c>
      <c r="AH104" s="8">
        <f t="shared" ref="AH104" si="1544">+AG104/$AG$4</f>
        <v>1</v>
      </c>
      <c r="AI104" s="8">
        <f t="shared" ref="AI104" si="1545">+AB104/D104</f>
        <v>0.74883015963848931</v>
      </c>
      <c r="AJ104" s="2">
        <f t="shared" ref="AJ104" si="1546">AB103*1%</f>
        <v>171560.22699999998</v>
      </c>
      <c r="AK104" s="4">
        <f t="shared" ref="AK104" si="1547">((+D104+AJ104)-AB104)/D104</f>
        <v>0.25872925015972376</v>
      </c>
      <c r="AL104" s="4">
        <f t="shared" ref="AL104" si="1548">+S104/$D104</f>
        <v>0.95215758359007374</v>
      </c>
      <c r="AM104" s="4">
        <f t="shared" ref="AM104" si="1549">+T104/$D104</f>
        <v>2.3779516605896261E-2</v>
      </c>
      <c r="AN104" s="4">
        <f t="shared" ref="AN104" si="1550">+U104/$D104</f>
        <v>1.1383870499225904E-2</v>
      </c>
      <c r="AO104" s="4">
        <f t="shared" ref="AO104" si="1551">+V104/$D104</f>
        <v>6.3169897912707183E-4</v>
      </c>
      <c r="AP104" s="4">
        <f t="shared" ref="AP104" si="1552">+W104/$D104</f>
        <v>0</v>
      </c>
      <c r="AQ104" s="4">
        <f t="shared" ref="AQ104" si="1553">+X104/$D104</f>
        <v>6.847240532380399E-4</v>
      </c>
      <c r="AR104" s="4">
        <f t="shared" ref="AR104" si="1554">+Y104/$D104</f>
        <v>0</v>
      </c>
    </row>
    <row r="105" spans="1:44" x14ac:dyDescent="0.25">
      <c r="A105">
        <f t="shared" si="16"/>
        <v>101</v>
      </c>
      <c r="B105" s="3">
        <f t="shared" si="30"/>
        <v>45771</v>
      </c>
      <c r="C105" s="41">
        <v>803</v>
      </c>
      <c r="D105" s="2">
        <v>22516336.68</v>
      </c>
      <c r="E105" s="44">
        <v>7.46</v>
      </c>
      <c r="F105" s="8">
        <f t="shared" ref="F105" si="1555">+D105/D$4</f>
        <v>0.50036280483141671</v>
      </c>
      <c r="G105" s="2">
        <v>63958.59</v>
      </c>
      <c r="N105" s="6">
        <f t="shared" ref="N105" si="1556">+G105/D104</f>
        <v>2.8181892760370791E-3</v>
      </c>
      <c r="O105" s="6">
        <f t="shared" ref="O105" si="1557">1-(+N105-1)^12</f>
        <v>3.3298979807785178E-2</v>
      </c>
      <c r="P105" s="27">
        <f t="shared" ref="P105" si="1558">AVERAGE(O103:O105)</f>
        <v>2.7780051552908486E-2</v>
      </c>
      <c r="Q105" s="27">
        <f t="shared" ref="Q105" si="1559">AVERAGE(O100:O105)</f>
        <v>3.3512075348537264E-2</v>
      </c>
      <c r="R105" s="27">
        <f t="shared" ref="R105" si="1560">AVERAGE(O94:O105)</f>
        <v>4.2971929531177587E-2</v>
      </c>
      <c r="S105" s="26">
        <v>21499579.600000001</v>
      </c>
      <c r="T105" s="26">
        <v>398389.78</v>
      </c>
      <c r="U105" s="26">
        <v>305731</v>
      </c>
      <c r="V105" s="26">
        <v>54861.42</v>
      </c>
      <c r="W105" s="26">
        <v>0</v>
      </c>
      <c r="X105" s="26">
        <v>0</v>
      </c>
      <c r="Y105" s="26">
        <v>0</v>
      </c>
      <c r="Z105" s="26">
        <f t="shared" ref="Z105" si="1561">+Z104+Y105</f>
        <v>1038741.7899999998</v>
      </c>
      <c r="AA105" s="4">
        <f t="shared" ref="AA105" si="1562">+Z105/$D$4</f>
        <v>2.308314016292309E-2</v>
      </c>
      <c r="AB105" s="2">
        <v>16816154.969999999</v>
      </c>
      <c r="AC105" s="4">
        <f t="shared" ref="AC105" si="1563">+AB105/AB$4</f>
        <v>0.42465037803030298</v>
      </c>
      <c r="AD105" s="2">
        <f t="shared" ref="AD105" si="1564">+AB105*$AD$2</f>
        <v>14331950.258522727</v>
      </c>
      <c r="AE105" s="2">
        <v>1060681.74</v>
      </c>
      <c r="AF105" s="8">
        <f t="shared" ref="AF105" si="1565">+AE105/$AE$4</f>
        <v>0.23570705333333333</v>
      </c>
      <c r="AG105" s="2">
        <v>900000</v>
      </c>
      <c r="AH105" s="8">
        <f t="shared" ref="AH105" si="1566">+AG105/$AG$4</f>
        <v>1</v>
      </c>
      <c r="AI105" s="8">
        <f t="shared" ref="AI105" si="1567">+AB105/D105</f>
        <v>0.74684240198525931</v>
      </c>
      <c r="AJ105" s="2">
        <f t="shared" ref="AJ105" si="1568">AB104*1%</f>
        <v>169946.43179999999</v>
      </c>
      <c r="AK105" s="4">
        <f t="shared" ref="AK105" si="1569">((+D105+AJ105)-AB105)/D105</f>
        <v>0.26070529257159791</v>
      </c>
      <c r="AL105" s="4">
        <f t="shared" ref="AL105" si="1570">+S105/$D105</f>
        <v>0.95484358337459363</v>
      </c>
      <c r="AM105" s="4">
        <f t="shared" ref="AM105" si="1571">+T105/$D105</f>
        <v>1.76933657398127E-2</v>
      </c>
      <c r="AN105" s="4">
        <f t="shared" ref="AN105" si="1572">+U105/$D105</f>
        <v>1.357818566781175E-2</v>
      </c>
      <c r="AO105" s="4">
        <f t="shared" ref="AO105" si="1573">+V105/$D105</f>
        <v>2.4365162406161001E-3</v>
      </c>
      <c r="AP105" s="4">
        <f t="shared" ref="AP105" si="1574">+W105/$D105</f>
        <v>0</v>
      </c>
      <c r="AQ105" s="4">
        <f t="shared" ref="AQ105" si="1575">+X105/$D105</f>
        <v>0</v>
      </c>
      <c r="AR105" s="4">
        <f t="shared" ref="AR105" si="1576">+Y105/$D105</f>
        <v>0</v>
      </c>
    </row>
    <row r="106" spans="1:44" x14ac:dyDescent="0.25">
      <c r="A106">
        <f t="shared" si="16"/>
        <v>102</v>
      </c>
      <c r="B106" s="3">
        <f t="shared" si="30"/>
        <v>45802</v>
      </c>
      <c r="C106" s="41">
        <v>801</v>
      </c>
      <c r="D106" s="2">
        <v>22365287.960000001</v>
      </c>
      <c r="E106" s="44">
        <v>7.46</v>
      </c>
      <c r="F106" s="8">
        <f t="shared" ref="F106" si="1577">+D106/D$4</f>
        <v>0.49700616816891169</v>
      </c>
      <c r="G106" s="2">
        <v>67545.23</v>
      </c>
      <c r="N106" s="6">
        <f t="shared" ref="N106" si="1578">+G106/D105</f>
        <v>2.9998321201155534E-3</v>
      </c>
      <c r="O106" s="6">
        <f t="shared" ref="O106" si="1579">1-(+N106-1)^12</f>
        <v>3.5409951028514963E-2</v>
      </c>
      <c r="P106" s="27">
        <f t="shared" ref="P106" si="1580">AVERAGE(O104:O106)</f>
        <v>3.3787436192074881E-2</v>
      </c>
      <c r="Q106" s="27">
        <f t="shared" ref="Q106" si="1581">AVERAGE(O101:O106)</f>
        <v>2.465329886919726E-2</v>
      </c>
      <c r="R106" s="27">
        <f t="shared" ref="R106" si="1582">AVERAGE(O95:O106)</f>
        <v>3.9215091280520004E-2</v>
      </c>
      <c r="S106" s="26">
        <v>21260528.91</v>
      </c>
      <c r="T106" s="26">
        <v>493332.14</v>
      </c>
      <c r="U106" s="26">
        <v>254449.51</v>
      </c>
      <c r="V106" s="26">
        <v>24530.04</v>
      </c>
      <c r="W106" s="26">
        <v>87591.49</v>
      </c>
      <c r="X106" s="26">
        <v>0</v>
      </c>
      <c r="Y106" s="26">
        <v>0</v>
      </c>
      <c r="Z106" s="26">
        <f t="shared" ref="Z106" si="1583">+Z105+Y106</f>
        <v>1038741.7899999998</v>
      </c>
      <c r="AA106" s="4">
        <f t="shared" ref="AA106" si="1584">+Z106/$D$4</f>
        <v>2.308314016292309E-2</v>
      </c>
      <c r="AB106" s="2">
        <v>16678025.26</v>
      </c>
      <c r="AC106" s="4">
        <f t="shared" ref="AC106" si="1585">+AB106/AB$4</f>
        <v>0.42116225404040403</v>
      </c>
      <c r="AD106" s="2">
        <f t="shared" ref="AD106" si="1586">+AB106*$AD$2</f>
        <v>14214226.073863637</v>
      </c>
      <c r="AE106" s="2">
        <v>1016323.38</v>
      </c>
      <c r="AF106" s="8">
        <f t="shared" ref="AF106" si="1587">+AE106/$AE$4</f>
        <v>0.22584963999999999</v>
      </c>
      <c r="AG106" s="2">
        <v>900000</v>
      </c>
      <c r="AH106" s="8">
        <f t="shared" ref="AH106" si="1588">+AG106/$AG$4</f>
        <v>1</v>
      </c>
      <c r="AI106" s="8">
        <f t="shared" ref="AI106" si="1589">+AB106/D106</f>
        <v>0.74571028505550252</v>
      </c>
      <c r="AJ106" s="2">
        <f t="shared" ref="AJ106" si="1590">AB105*1%</f>
        <v>168161.5497</v>
      </c>
      <c r="AK106" s="4">
        <f t="shared" ref="AK106" si="1591">((+D106+AJ106)-AB106)/D106</f>
        <v>0.26180857855138479</v>
      </c>
      <c r="AL106" s="4">
        <f t="shared" ref="AL106" si="1592">+S106/$D106</f>
        <v>0.95060385307911766</v>
      </c>
      <c r="AM106" s="4">
        <f t="shared" ref="AM106" si="1593">+T106/$D106</f>
        <v>2.205793821578857E-2</v>
      </c>
      <c r="AN106" s="4">
        <f t="shared" ref="AN106" si="1594">+U106/$D106</f>
        <v>1.1376983406387584E-2</v>
      </c>
      <c r="AO106" s="4">
        <f t="shared" ref="AO106" si="1595">+V106/$D106</f>
        <v>1.0967907072724316E-3</v>
      </c>
      <c r="AP106" s="4">
        <f t="shared" ref="AP106" si="1596">+W106/$D106</f>
        <v>3.9164034085613442E-3</v>
      </c>
      <c r="AQ106" s="4">
        <f t="shared" ref="AQ106" si="1597">+X106/$D106</f>
        <v>0</v>
      </c>
      <c r="AR106" s="4">
        <f t="shared" ref="AR106" si="1598">+Y106/$D106</f>
        <v>0</v>
      </c>
    </row>
    <row r="107" spans="1:44" x14ac:dyDescent="0.25">
      <c r="A107">
        <f t="shared" si="16"/>
        <v>103</v>
      </c>
      <c r="B107" s="3">
        <f t="shared" si="30"/>
        <v>45833</v>
      </c>
      <c r="C107" s="41">
        <v>795</v>
      </c>
      <c r="D107" s="2">
        <v>22215098.469999999</v>
      </c>
      <c r="E107" s="44">
        <v>7.46</v>
      </c>
      <c r="F107" s="8">
        <f t="shared" ref="F107" si="1599">+D107/D$4</f>
        <v>0.49366862549753426</v>
      </c>
      <c r="G107" s="2">
        <v>57901.11</v>
      </c>
      <c r="N107" s="6">
        <f t="shared" ref="N107" si="1600">+G107/D106</f>
        <v>2.5888828305522071E-3</v>
      </c>
      <c r="O107" s="6">
        <f t="shared" ref="O107" si="1601">1-(+N107-1)^12</f>
        <v>3.0628036409487636E-2</v>
      </c>
      <c r="P107" s="27">
        <f t="shared" ref="P107" si="1602">AVERAGE(O105:O107)</f>
        <v>3.3112322415262595E-2</v>
      </c>
      <c r="Q107" s="27">
        <f t="shared" ref="Q107" si="1603">AVERAGE(O102:O107)</f>
        <v>2.5508401997590396E-2</v>
      </c>
      <c r="R107" s="27">
        <f t="shared" ref="R107" si="1604">AVERAGE(O96:O107)</f>
        <v>3.7120456747519626E-2</v>
      </c>
      <c r="S107" s="26">
        <v>21111426.850000001</v>
      </c>
      <c r="T107" s="26">
        <v>435711.84</v>
      </c>
      <c r="U107" s="26">
        <v>203847.48</v>
      </c>
      <c r="V107" s="26">
        <v>131743.69</v>
      </c>
      <c r="W107" s="26">
        <v>0</v>
      </c>
      <c r="X107" s="26">
        <v>87591.49</v>
      </c>
      <c r="Y107" s="26">
        <v>0</v>
      </c>
      <c r="Z107" s="26">
        <f t="shared" ref="Z107:Z112" si="1605">+Z106+Y107</f>
        <v>1038741.7899999998</v>
      </c>
      <c r="AA107" s="4">
        <f t="shared" ref="AA107" si="1606">+Z107/$D$4</f>
        <v>2.308314016292309E-2</v>
      </c>
      <c r="AB107" s="2">
        <v>16527914.52</v>
      </c>
      <c r="AC107" s="4">
        <f t="shared" ref="AC107" si="1607">+AB107/AB$4</f>
        <v>0.41737157878787878</v>
      </c>
      <c r="AD107" s="2">
        <f t="shared" ref="AD107" si="1608">+AB107*$AD$2</f>
        <v>14086290.784090908</v>
      </c>
      <c r="AE107" s="2">
        <v>980433.86</v>
      </c>
      <c r="AF107" s="8">
        <f t="shared" ref="AF107" si="1609">+AE107/$AE$4</f>
        <v>0.21787419111111112</v>
      </c>
      <c r="AG107" s="2">
        <v>900000</v>
      </c>
      <c r="AH107" s="8">
        <f t="shared" ref="AH107" si="1610">+AG107/$AG$4</f>
        <v>1</v>
      </c>
      <c r="AI107" s="8">
        <f t="shared" ref="AI107" si="1611">+AB107/D107</f>
        <v>0.74399465491093097</v>
      </c>
      <c r="AJ107" s="2">
        <f t="shared" ref="AJ107" si="1612">AB106*1%</f>
        <v>166780.25260000001</v>
      </c>
      <c r="AK107" s="4">
        <f t="shared" ref="AK107" si="1613">((+D107+AJ107)-AB107)/D107</f>
        <v>0.26351286313249456</v>
      </c>
      <c r="AL107" s="4">
        <f t="shared" ref="AL107" si="1614">+S107/$D107</f>
        <v>0.95031885087115719</v>
      </c>
      <c r="AM107" s="4">
        <f t="shared" ref="AM107" si="1615">+T107/$D107</f>
        <v>1.961332021950745E-2</v>
      </c>
      <c r="AN107" s="4">
        <f t="shared" ref="AN107" si="1616">+U107/$D107</f>
        <v>9.176078164824809E-3</v>
      </c>
      <c r="AO107" s="4">
        <f t="shared" ref="AO107" si="1617">+V107/$D107</f>
        <v>5.9303671409744602E-3</v>
      </c>
      <c r="AP107" s="4">
        <f t="shared" ref="AP107" si="1618">+W107/$D107</f>
        <v>0</v>
      </c>
      <c r="AQ107" s="4">
        <f t="shared" ref="AQ107" si="1619">+X107/$D107</f>
        <v>3.9428810148326122E-3</v>
      </c>
      <c r="AR107" s="4">
        <f t="shared" ref="AR107" si="1620">+Y107/$D107</f>
        <v>0</v>
      </c>
    </row>
    <row r="108" spans="1:44" x14ac:dyDescent="0.25">
      <c r="A108">
        <f t="shared" si="16"/>
        <v>104</v>
      </c>
      <c r="B108" s="3">
        <f t="shared" si="30"/>
        <v>45864</v>
      </c>
      <c r="C108" s="41">
        <v>793</v>
      </c>
      <c r="D108" s="2">
        <v>22094426.82</v>
      </c>
      <c r="E108" s="44">
        <v>7.46</v>
      </c>
      <c r="F108" s="8">
        <f t="shared" ref="F108" si="1621">+D108/D$4</f>
        <v>0.490987034521358</v>
      </c>
      <c r="G108" s="2">
        <v>25072.3</v>
      </c>
      <c r="N108" s="6">
        <f t="shared" ref="N108" si="1622">+G108/D107</f>
        <v>1.1286152989084634E-3</v>
      </c>
      <c r="O108" s="6">
        <f t="shared" ref="O108" si="1623">1-(+N108-1)^12</f>
        <v>1.3459630072488515E-2</v>
      </c>
      <c r="P108" s="27">
        <f t="shared" ref="P108" si="1624">AVERAGE(O106:O108)</f>
        <v>2.649920583683037E-2</v>
      </c>
      <c r="Q108" s="27">
        <f t="shared" ref="Q108" si="1625">AVERAGE(O103:O108)</f>
        <v>2.7139628694869428E-2</v>
      </c>
      <c r="R108" s="27">
        <f t="shared" ref="R108" si="1626">AVERAGE(O97:O108)</f>
        <v>3.5785892769773835E-2</v>
      </c>
      <c r="S108" s="26">
        <v>21062887.309999999</v>
      </c>
      <c r="T108" s="26">
        <v>487727.2</v>
      </c>
      <c r="U108" s="26">
        <v>174882.84</v>
      </c>
      <c r="V108" s="26">
        <v>87170.4</v>
      </c>
      <c r="W108" s="26">
        <v>0</v>
      </c>
      <c r="X108" s="26">
        <v>87591.49</v>
      </c>
      <c r="Y108" s="26">
        <v>36981.949999999997</v>
      </c>
      <c r="Z108" s="26">
        <f t="shared" si="1605"/>
        <v>1075723.7399999998</v>
      </c>
      <c r="AA108" s="4">
        <f t="shared" ref="AA108" si="1627">+Z108/$D$4</f>
        <v>2.39049608921615E-2</v>
      </c>
      <c r="AB108" s="2">
        <v>16370260.92</v>
      </c>
      <c r="AC108" s="4">
        <f t="shared" ref="AC108" si="1628">+AB108/AB$4</f>
        <v>0.41339042727272729</v>
      </c>
      <c r="AD108" s="2">
        <f t="shared" ref="AD108" si="1629">+AB108*$AD$2</f>
        <v>13951926.920454545</v>
      </c>
      <c r="AE108" s="2">
        <v>980433.86</v>
      </c>
      <c r="AF108" s="8">
        <f t="shared" ref="AF108" si="1630">+AE108/$AE$4</f>
        <v>0.21787419111111112</v>
      </c>
      <c r="AG108" s="2">
        <v>900000</v>
      </c>
      <c r="AH108" s="8">
        <f t="shared" ref="AH108" si="1631">+AG108/$AG$4</f>
        <v>1</v>
      </c>
      <c r="AI108" s="8">
        <f t="shared" ref="AI108" si="1632">+AB108/D108</f>
        <v>0.74092263417223148</v>
      </c>
      <c r="AJ108" s="2">
        <f t="shared" ref="AJ108" si="1633">AB107*1%</f>
        <v>165279.1452</v>
      </c>
      <c r="AK108" s="4">
        <f t="shared" ref="AK108" si="1634">((+D108+AJ108)-AB108)/D108</f>
        <v>0.26655794663425442</v>
      </c>
      <c r="AL108" s="4">
        <f t="shared" ref="AL108" si="1635">+S108/$D108</f>
        <v>0.95331223034642176</v>
      </c>
      <c r="AM108" s="4">
        <f t="shared" ref="AM108" si="1636">+T108/$D108</f>
        <v>2.2074670864894608E-2</v>
      </c>
      <c r="AN108" s="4">
        <f t="shared" ref="AN108" si="1637">+U108/$D108</f>
        <v>7.9152467463738437E-3</v>
      </c>
      <c r="AO108" s="4">
        <f t="shared" ref="AO108" si="1638">+V108/$D108</f>
        <v>3.9453569314182365E-3</v>
      </c>
      <c r="AP108" s="4">
        <f t="shared" ref="AP108" si="1639">+W108/$D108</f>
        <v>0</v>
      </c>
      <c r="AQ108" s="4">
        <f t="shared" ref="AQ108" si="1640">+X108/$D108</f>
        <v>3.9644155837847625E-3</v>
      </c>
      <c r="AR108" s="4">
        <f t="shared" ref="AR108" si="1641">+Y108/$D108</f>
        <v>1.6738135051561386E-3</v>
      </c>
    </row>
    <row r="109" spans="1:44" x14ac:dyDescent="0.25">
      <c r="A109">
        <f t="shared" si="16"/>
        <v>105</v>
      </c>
      <c r="B109" s="3">
        <f t="shared" si="30"/>
        <v>45895</v>
      </c>
      <c r="C109" s="41">
        <v>790</v>
      </c>
      <c r="D109" s="2">
        <v>21975804.640000001</v>
      </c>
      <c r="E109" s="44">
        <v>7.46</v>
      </c>
      <c r="F109" s="8">
        <f t="shared" ref="F109" si="1642">+D109/D$4</f>
        <v>0.48835098730179682</v>
      </c>
      <c r="G109" s="2">
        <v>22882.07</v>
      </c>
      <c r="N109" s="6">
        <f t="shared" ref="N109" si="1643">+G109/D108</f>
        <v>1.035648952852084E-3</v>
      </c>
      <c r="O109" s="6">
        <f t="shared" ref="O109" si="1644">1-(+N109-1)^12</f>
        <v>1.2357241705019395E-2</v>
      </c>
      <c r="P109" s="27">
        <f t="shared" ref="P109" si="1645">AVERAGE(O107:O109)</f>
        <v>1.8814969395665182E-2</v>
      </c>
      <c r="Q109" s="27">
        <f t="shared" ref="Q109" si="1646">AVERAGE(O104:O109)</f>
        <v>2.6301202793870031E-2</v>
      </c>
      <c r="R109" s="27">
        <f t="shared" ref="R109" si="1647">AVERAGE(O98:O109)</f>
        <v>3.4089965257587403E-2</v>
      </c>
      <c r="S109" s="26">
        <v>20810745.809999999</v>
      </c>
      <c r="T109" s="26">
        <v>628167.41</v>
      </c>
      <c r="U109" s="26">
        <v>189628.01</v>
      </c>
      <c r="V109" s="26">
        <v>40395.9</v>
      </c>
      <c r="W109" s="26">
        <v>25299.67</v>
      </c>
      <c r="X109" s="26">
        <v>0</v>
      </c>
      <c r="Y109" s="26">
        <v>0</v>
      </c>
      <c r="Z109" s="26">
        <f t="shared" si="1605"/>
        <v>1075723.7399999998</v>
      </c>
      <c r="AA109" s="4">
        <f t="shared" ref="AA109" si="1648">+Z109/$D$4</f>
        <v>2.39049608921615E-2</v>
      </c>
      <c r="AB109" s="2">
        <v>16251829.970000001</v>
      </c>
      <c r="AC109" s="4">
        <f t="shared" ref="AC109" si="1649">+AB109/AB$4</f>
        <v>0.41039974671717172</v>
      </c>
      <c r="AD109" s="2">
        <f t="shared" ref="AD109" si="1650">+AB109*$AD$2</f>
        <v>13850991.451704547</v>
      </c>
      <c r="AE109" s="2">
        <v>948977.33</v>
      </c>
      <c r="AF109" s="8">
        <f t="shared" ref="AF109" si="1651">+AE109/$AE$4</f>
        <v>0.2108838511111111</v>
      </c>
      <c r="AG109" s="2">
        <v>900000</v>
      </c>
      <c r="AH109" s="8">
        <f t="shared" ref="AH109" si="1652">+AG109/$AG$4</f>
        <v>1</v>
      </c>
      <c r="AI109" s="8">
        <f t="shared" ref="AI109" si="1653">+AB109/D109</f>
        <v>0.73953287427840919</v>
      </c>
      <c r="AJ109" s="2">
        <f t="shared" ref="AJ109" si="1654">AB108*1%</f>
        <v>163702.60920000001</v>
      </c>
      <c r="AK109" s="4">
        <f t="shared" ref="AK109" si="1655">((+D109+AJ109)-AB109)/D109</f>
        <v>0.26791634598368003</v>
      </c>
      <c r="AL109" s="4">
        <f t="shared" ref="AL109" si="1656">+S109/$D109</f>
        <v>0.94698447455801549</v>
      </c>
      <c r="AM109" s="4">
        <f t="shared" ref="AM109" si="1657">+T109/$D109</f>
        <v>2.8584501013292591E-2</v>
      </c>
      <c r="AN109" s="4">
        <f t="shared" ref="AN109" si="1658">+U109/$D109</f>
        <v>8.6289450195986099E-3</v>
      </c>
      <c r="AO109" s="4">
        <f t="shared" ref="AO109" si="1659">+V109/$D109</f>
        <v>1.8381989038286244E-3</v>
      </c>
      <c r="AP109" s="4">
        <f t="shared" ref="AP109" si="1660">+W109/$D109</f>
        <v>1.151251133437451E-3</v>
      </c>
      <c r="AQ109" s="4">
        <f t="shared" ref="AQ109" si="1661">+X109/$D109</f>
        <v>0</v>
      </c>
      <c r="AR109" s="4">
        <f t="shared" ref="AR109" si="1662">+Y109/$D109</f>
        <v>0</v>
      </c>
    </row>
    <row r="110" spans="1:44" x14ac:dyDescent="0.25">
      <c r="A110">
        <f t="shared" si="16"/>
        <v>106</v>
      </c>
      <c r="B110" s="3">
        <f t="shared" si="30"/>
        <v>45926</v>
      </c>
      <c r="C110" s="41">
        <v>790</v>
      </c>
      <c r="D110" s="2">
        <v>21890108.82</v>
      </c>
      <c r="E110" s="44">
        <v>7.46</v>
      </c>
      <c r="F110" s="8">
        <f t="shared" ref="F110" si="1663">+D110/D$4</f>
        <v>0.48644663663112958</v>
      </c>
      <c r="G110" s="2">
        <v>0</v>
      </c>
      <c r="N110" s="6">
        <f t="shared" ref="N110" si="1664">+G110/D109</f>
        <v>0</v>
      </c>
      <c r="O110" s="6">
        <f t="shared" ref="O110" si="1665">1-(+N110-1)^12</f>
        <v>0</v>
      </c>
      <c r="P110" s="27">
        <f t="shared" ref="P110" si="1666">AVERAGE(O108:O110)</f>
        <v>8.6056239258359701E-3</v>
      </c>
      <c r="Q110" s="27">
        <f t="shared" ref="Q110" si="1667">AVERAGE(O105:O110)</f>
        <v>2.0858973170549282E-2</v>
      </c>
      <c r="R110" s="27">
        <f t="shared" ref="R110" si="1668">AVERAGE(O99:O110)</f>
        <v>3.0199205585105016E-2</v>
      </c>
      <c r="S110" s="26">
        <v>20817028.059999999</v>
      </c>
      <c r="T110" s="26">
        <v>476283.99</v>
      </c>
      <c r="U110" s="26">
        <v>209895.23</v>
      </c>
      <c r="V110" s="26">
        <v>39638.129999999997</v>
      </c>
      <c r="W110" s="26">
        <v>40395.9</v>
      </c>
      <c r="X110" s="26">
        <v>25299.67</v>
      </c>
      <c r="Y110" s="26">
        <v>0</v>
      </c>
      <c r="Z110" s="26">
        <f t="shared" si="1605"/>
        <v>1075723.7399999998</v>
      </c>
      <c r="AA110" s="4">
        <f t="shared" ref="AA110" si="1669">+Z110/$D$4</f>
        <v>2.39049608921615E-2</v>
      </c>
      <c r="AB110" s="2">
        <v>16166134.15</v>
      </c>
      <c r="AC110" s="4">
        <f t="shared" ref="AC110" si="1670">+AB110/AB$4</f>
        <v>0.40823571085858584</v>
      </c>
      <c r="AD110" s="2">
        <f t="shared" ref="AD110" si="1671">+AB110*$AD$2</f>
        <v>13777955.241477273</v>
      </c>
      <c r="AE110" s="2">
        <v>923161.33</v>
      </c>
      <c r="AF110" s="8">
        <f t="shared" ref="AF110" si="1672">+AE110/$AE$4</f>
        <v>0.2051469622222222</v>
      </c>
      <c r="AG110" s="2">
        <v>900000</v>
      </c>
      <c r="AH110" s="8">
        <f t="shared" ref="AH110" si="1673">+AG110/$AG$4</f>
        <v>1</v>
      </c>
      <c r="AI110" s="8">
        <f t="shared" ref="AI110" si="1674">+AB110/D110</f>
        <v>0.73851319255342107</v>
      </c>
      <c r="AJ110" s="2">
        <f t="shared" ref="AJ110" si="1675">AB109*1%</f>
        <v>162518.2997</v>
      </c>
      <c r="AK110" s="4">
        <f t="shared" ref="AK110" si="1676">((+D110+AJ110)-AB110)/D110</f>
        <v>0.26891108756489041</v>
      </c>
      <c r="AL110" s="4">
        <f t="shared" ref="AL110" si="1677">+S110/$D110</f>
        <v>0.95097873798509502</v>
      </c>
      <c r="AM110" s="4">
        <f t="shared" ref="AM110" si="1678">+T110/$D110</f>
        <v>2.1757954422083132E-2</v>
      </c>
      <c r="AN110" s="4">
        <f t="shared" ref="AN110" si="1679">+U110/$D110</f>
        <v>9.5885877830003408E-3</v>
      </c>
      <c r="AO110" s="4">
        <f t="shared" ref="AO110" si="1680">+V110/$D110</f>
        <v>1.8107781156293035E-3</v>
      </c>
      <c r="AP110" s="4">
        <f t="shared" ref="AP110" si="1681">+W110/$D110</f>
        <v>1.8453951203336229E-3</v>
      </c>
      <c r="AQ110" s="4">
        <f t="shared" ref="AQ110" si="1682">+X110/$D110</f>
        <v>1.1557580735681331E-3</v>
      </c>
      <c r="AR110" s="4">
        <f t="shared" ref="AR110" si="1683">+Y110/$D110</f>
        <v>0</v>
      </c>
    </row>
    <row r="111" spans="1:44" x14ac:dyDescent="0.25">
      <c r="A111">
        <f t="shared" si="16"/>
        <v>107</v>
      </c>
      <c r="B111" s="3">
        <f t="shared" si="30"/>
        <v>45957</v>
      </c>
      <c r="C111" s="41">
        <v>788</v>
      </c>
      <c r="D111" s="2">
        <v>21734729.73</v>
      </c>
      <c r="E111" s="44">
        <v>7.46</v>
      </c>
      <c r="F111" s="8">
        <f t="shared" ref="F111" si="1684">+D111/D$4</f>
        <v>0.48299376956889511</v>
      </c>
      <c r="G111" s="2">
        <v>42689.61</v>
      </c>
      <c r="N111" s="6">
        <f t="shared" ref="N111" si="1685">+G111/D110</f>
        <v>1.9501780622029818E-3</v>
      </c>
      <c r="O111" s="6">
        <f t="shared" ref="O111" si="1686">1-(+N111-1)^12</f>
        <v>2.3152750493013685E-2</v>
      </c>
      <c r="P111" s="27">
        <f t="shared" ref="P111" si="1687">AVERAGE(O109:O111)</f>
        <v>1.1836664066011027E-2</v>
      </c>
      <c r="Q111" s="27">
        <f t="shared" ref="Q111" si="1688">AVERAGE(O106:O111)</f>
        <v>1.91679349514207E-2</v>
      </c>
      <c r="R111" s="27">
        <f t="shared" ref="R111" si="1689">AVERAGE(O100:O111)</f>
        <v>2.6340005149978984E-2</v>
      </c>
      <c r="S111" s="26">
        <v>20666291.289999999</v>
      </c>
      <c r="T111" s="26">
        <v>413906.63</v>
      </c>
      <c r="U111" s="26">
        <v>287408.19</v>
      </c>
      <c r="V111" s="26">
        <v>56842.16</v>
      </c>
      <c r="W111" s="26">
        <v>40395.9</v>
      </c>
      <c r="X111" s="26">
        <v>0</v>
      </c>
      <c r="Y111" s="26">
        <v>25299.67</v>
      </c>
      <c r="Z111" s="26">
        <f t="shared" si="1605"/>
        <v>1101023.4099999997</v>
      </c>
      <c r="AA111" s="4">
        <f t="shared" ref="AA111" si="1690">+Z111/$D$4</f>
        <v>2.4467175519807993E-2</v>
      </c>
      <c r="AB111" s="2">
        <v>16022437.34</v>
      </c>
      <c r="AC111" s="4">
        <f t="shared" ref="AC111" si="1691">+AB111/AB$4</f>
        <v>0.4046070035353535</v>
      </c>
      <c r="AD111" s="2">
        <f t="shared" ref="AD111" si="1692">+AB111*$AD$2</f>
        <v>13655486.369318182</v>
      </c>
      <c r="AE111" s="2">
        <v>870841.75</v>
      </c>
      <c r="AF111" s="8">
        <f t="shared" ref="AF111" si="1693">+AE111/$AE$4</f>
        <v>0.19352038888888889</v>
      </c>
      <c r="AG111" s="2">
        <v>900000</v>
      </c>
      <c r="AH111" s="8">
        <f t="shared" ref="AH111" si="1694">+AG111/$AG$4</f>
        <v>1</v>
      </c>
      <c r="AI111" s="8">
        <f t="shared" ref="AI111" si="1695">+AB111/D111</f>
        <v>0.73718134704406102</v>
      </c>
      <c r="AJ111" s="2">
        <f t="shared" ref="AJ111" si="1696">AB110*1%</f>
        <v>161661.34150000001</v>
      </c>
      <c r="AK111" s="4">
        <f t="shared" ref="AK111" si="1697">((+D111+AJ111)-AB111)/D111</f>
        <v>0.27025658034257966</v>
      </c>
      <c r="AL111" s="4">
        <f t="shared" ref="AL111" si="1698">+S111/$D111</f>
        <v>0.95084188056291963</v>
      </c>
      <c r="AM111" s="4">
        <f t="shared" ref="AM111" si="1699">+T111/$D111</f>
        <v>1.9043560013939038E-2</v>
      </c>
      <c r="AN111" s="4">
        <f t="shared" ref="AN111" si="1700">+U111/$D111</f>
        <v>1.3223453595712137E-2</v>
      </c>
      <c r="AO111" s="4">
        <f t="shared" ref="AO111" si="1701">+V111/$D111</f>
        <v>2.6152687751871116E-3</v>
      </c>
      <c r="AP111" s="4">
        <f t="shared" ref="AP111" si="1702">+W111/$D111</f>
        <v>1.8585876383934222E-3</v>
      </c>
      <c r="AQ111" s="4">
        <f t="shared" ref="AQ111" si="1703">+X111/$D111</f>
        <v>0</v>
      </c>
      <c r="AR111" s="4">
        <f t="shared" ref="AR111" si="1704">+Y111/$D111</f>
        <v>1.1640204554777317E-3</v>
      </c>
    </row>
    <row r="112" spans="1:44" x14ac:dyDescent="0.25">
      <c r="A112">
        <f t="shared" si="16"/>
        <v>108</v>
      </c>
      <c r="B112" s="3">
        <f t="shared" si="30"/>
        <v>45988</v>
      </c>
      <c r="C112" s="41">
        <v>780</v>
      </c>
      <c r="D112" s="2">
        <v>21457703.920000002</v>
      </c>
      <c r="E112" s="44">
        <v>7.46</v>
      </c>
      <c r="F112" s="8">
        <f t="shared" ref="F112" si="1705">+D112/D$4</f>
        <v>0.47683764331833073</v>
      </c>
      <c r="G112" s="2">
        <v>177841.76</v>
      </c>
      <c r="N112" s="6">
        <f t="shared" ref="N112" si="1706">+G112/D111</f>
        <v>8.1823773384459755E-3</v>
      </c>
      <c r="O112" s="6">
        <f t="shared" ref="O112" si="1707">1-(+N112-1)^12</f>
        <v>9.3888072854626525E-2</v>
      </c>
      <c r="P112" s="27">
        <f t="shared" ref="P112" si="1708">AVERAGE(O110:O112)</f>
        <v>3.9013607782546735E-2</v>
      </c>
      <c r="Q112" s="27">
        <f t="shared" ref="Q112" si="1709">AVERAGE(O107:O112)</f>
        <v>2.8914288589105958E-2</v>
      </c>
      <c r="R112" s="27">
        <f t="shared" ref="R112" si="1710">AVERAGE(O101:O112)</f>
        <v>2.6783793729151611E-2</v>
      </c>
      <c r="S112" s="26">
        <v>20434642.98</v>
      </c>
      <c r="T112" s="26">
        <v>427347.99</v>
      </c>
      <c r="U112" s="26">
        <v>270931.18</v>
      </c>
      <c r="V112" s="26">
        <v>14640.29</v>
      </c>
      <c r="W112" s="26">
        <v>40395.9</v>
      </c>
      <c r="X112" s="26">
        <v>0</v>
      </c>
      <c r="Y112" s="26">
        <v>0</v>
      </c>
      <c r="Z112" s="26">
        <f t="shared" si="1605"/>
        <v>1101023.4099999997</v>
      </c>
      <c r="AA112" s="4">
        <f t="shared" ref="AA112" si="1711">+Z112/$D$4</f>
        <v>2.4467175519807993E-2</v>
      </c>
      <c r="AB112" s="2">
        <v>15745551.51</v>
      </c>
      <c r="AC112" s="4">
        <f t="shared" ref="AC112" si="1712">+AB112/AB$4</f>
        <v>0.3976149371212121</v>
      </c>
      <c r="AD112" s="2">
        <f t="shared" ref="AD112" si="1713">+AB112*$AD$2</f>
        <v>13419504.12784091</v>
      </c>
      <c r="AE112" s="2">
        <v>831409.35</v>
      </c>
      <c r="AF112" s="8">
        <f t="shared" ref="AF112" si="1714">+AE112/$AE$4</f>
        <v>0.18475763333333334</v>
      </c>
      <c r="AG112" s="2">
        <v>900000</v>
      </c>
      <c r="AH112" s="8">
        <f t="shared" ref="AH112" si="1715">+AG112/$AG$4</f>
        <v>1</v>
      </c>
      <c r="AI112" s="8">
        <f t="shared" ref="AI112" si="1716">+AB112/D112</f>
        <v>0.73379479783594659</v>
      </c>
      <c r="AJ112" s="2">
        <f t="shared" ref="AJ112" si="1717">AB111*1%</f>
        <v>160224.37340000001</v>
      </c>
      <c r="AK112" s="4">
        <f t="shared" ref="AK112" si="1718">((+D112+AJ112)-AB112)/D112</f>
        <v>0.27367218810054306</v>
      </c>
      <c r="AL112" s="4">
        <f t="shared" ref="AL112" si="1719">+S112/$D112</f>
        <v>0.95232197518363371</v>
      </c>
      <c r="AM112" s="4">
        <f t="shared" ref="AM112" si="1720">+T112/$D112</f>
        <v>1.9915830304736537E-2</v>
      </c>
      <c r="AN112" s="4">
        <f t="shared" ref="AN112" si="1721">+U112/$D112</f>
        <v>1.2626289420811431E-2</v>
      </c>
      <c r="AO112" s="4">
        <f t="shared" ref="AO112" si="1722">+V112/$D112</f>
        <v>6.8228595447969995E-4</v>
      </c>
      <c r="AP112" s="4">
        <f t="shared" ref="AP112" si="1723">+W112/$D112</f>
        <v>1.882582598334221E-3</v>
      </c>
      <c r="AQ112" s="4">
        <f t="shared" ref="AQ112" si="1724">+X112/$D112</f>
        <v>0</v>
      </c>
      <c r="AR112" s="4">
        <f t="shared" ref="AR112" si="1725">+Y112/$D112</f>
        <v>0</v>
      </c>
    </row>
    <row r="113" spans="1:44" x14ac:dyDescent="0.25">
      <c r="A113">
        <f t="shared" si="16"/>
        <v>109</v>
      </c>
      <c r="B113" s="3">
        <f t="shared" si="30"/>
        <v>46019</v>
      </c>
      <c r="C113" s="41">
        <v>777</v>
      </c>
      <c r="D113" s="2">
        <v>21358860.940000001</v>
      </c>
      <c r="E113" s="44">
        <v>7.46</v>
      </c>
      <c r="F113" s="8">
        <f t="shared" ref="F113" si="1726">+D113/D$4</f>
        <v>0.47464113367230887</v>
      </c>
      <c r="G113" s="2">
        <v>12221.4</v>
      </c>
      <c r="N113" s="6">
        <f t="shared" ref="N113" si="1727">+G113/D112</f>
        <v>5.6955767707321406E-4</v>
      </c>
      <c r="O113" s="6">
        <f t="shared" ref="O113" si="1728">1-(+N113-1)^12</f>
        <v>6.8133225879842829E-3</v>
      </c>
      <c r="P113" s="27">
        <f t="shared" ref="P113" si="1729">AVERAGE(O111:O113)</f>
        <v>4.1284715311874831E-2</v>
      </c>
      <c r="Q113" s="27">
        <f t="shared" ref="Q113" si="1730">AVERAGE(O108:O113)</f>
        <v>2.4945169618855401E-2</v>
      </c>
      <c r="R113" s="27">
        <f t="shared" ref="R113" si="1731">AVERAGE(O102:O113)</f>
        <v>2.5226785808222896E-2</v>
      </c>
      <c r="S113" s="26">
        <v>20121705.210000001</v>
      </c>
      <c r="T113" s="26">
        <v>462449.84</v>
      </c>
      <c r="U113" s="26">
        <v>402788.72</v>
      </c>
      <c r="V113" s="26">
        <v>47252.54</v>
      </c>
      <c r="W113" s="26">
        <v>14640.29</v>
      </c>
      <c r="X113" s="26">
        <v>40395.9</v>
      </c>
      <c r="Y113" s="26">
        <v>0</v>
      </c>
      <c r="Z113" s="26">
        <f t="shared" ref="Z113" si="1732">+Z112+Y113</f>
        <v>1101023.4099999997</v>
      </c>
      <c r="AA113" s="4">
        <f t="shared" ref="AA113" si="1733">+Z113/$D$4</f>
        <v>2.4467175519807993E-2</v>
      </c>
      <c r="AB113" s="2">
        <v>15646825.67</v>
      </c>
      <c r="AC113" s="4">
        <f t="shared" ref="AC113" si="1734">+AB113/AB$4</f>
        <v>0.39512186035353536</v>
      </c>
      <c r="AD113" s="2">
        <f t="shared" ref="AD113" si="1735">+AB113*$AD$2</f>
        <v>13335362.786931818</v>
      </c>
      <c r="AE113" s="2">
        <v>824183.82</v>
      </c>
      <c r="AF113" s="8">
        <f t="shared" ref="AF113" si="1736">+AE113/$AE$4</f>
        <v>0.18315195999999997</v>
      </c>
      <c r="AG113" s="2">
        <v>900000</v>
      </c>
      <c r="AH113" s="8">
        <f t="shared" ref="AH113" si="1737">+AG113/$AG$4</f>
        <v>1</v>
      </c>
      <c r="AI113" s="8">
        <f t="shared" ref="AI113" si="1738">+AB113/D113</f>
        <v>0.73256835717757141</v>
      </c>
      <c r="AJ113" s="2">
        <f t="shared" ref="AJ113" si="1739">AB112*1%</f>
        <v>157455.51509999999</v>
      </c>
      <c r="AK113" s="4">
        <f t="shared" ref="AK113" si="1740">((+D113+AJ113)-AB113)/D113</f>
        <v>0.27480354882164421</v>
      </c>
      <c r="AL113" s="4">
        <f t="shared" ref="AL113" si="1741">+S113/$D113</f>
        <v>0.94207763543780065</v>
      </c>
      <c r="AM113" s="4">
        <f t="shared" ref="AM113" si="1742">+T113/$D113</f>
        <v>2.1651428009156745E-2</v>
      </c>
      <c r="AN113" s="4">
        <f t="shared" ref="AN113" si="1743">+U113/$D113</f>
        <v>1.8858155457423E-2</v>
      </c>
      <c r="AO113" s="4">
        <f t="shared" ref="AO113" si="1744">+V113/$D113</f>
        <v>2.2123155412050732E-3</v>
      </c>
      <c r="AP113" s="4">
        <f t="shared" ref="AP113" si="1745">+W113/$D113</f>
        <v>6.8544338769406304E-4</v>
      </c>
      <c r="AQ113" s="4">
        <f t="shared" ref="AQ113" si="1746">+X113/$D113</f>
        <v>1.8912946768780265E-3</v>
      </c>
      <c r="AR113" s="4">
        <f t="shared" ref="AR113" si="1747">+Y113/$D113</f>
        <v>0</v>
      </c>
    </row>
    <row r="114" spans="1:44" x14ac:dyDescent="0.25">
      <c r="A114">
        <f t="shared" si="16"/>
        <v>110</v>
      </c>
      <c r="B114" s="3">
        <f t="shared" si="30"/>
        <v>46050</v>
      </c>
      <c r="C114" s="41">
        <v>771</v>
      </c>
      <c r="D114" s="2">
        <v>21159766.399999999</v>
      </c>
      <c r="E114" s="44">
        <v>7.45</v>
      </c>
      <c r="F114" s="8">
        <f t="shared" ref="F114" si="1748">+D114/D$4</f>
        <v>0.47021681261703219</v>
      </c>
      <c r="G114" s="2">
        <v>29210.77</v>
      </c>
      <c r="N114" s="6">
        <f t="shared" ref="N114" si="1749">+G114/D113</f>
        <v>1.3676183426661703E-3</v>
      </c>
      <c r="O114" s="6">
        <f t="shared" ref="O114" si="1750">1-(+N114-1)^12</f>
        <v>1.6288536061148218E-2</v>
      </c>
      <c r="P114" s="27">
        <f t="shared" ref="P114" si="1751">AVERAGE(O112:O114)</f>
        <v>3.8996643834586342E-2</v>
      </c>
      <c r="Q114" s="27">
        <f t="shared" ref="Q114" si="1752">AVERAGE(O109:O114)</f>
        <v>2.5416653950298684E-2</v>
      </c>
      <c r="R114" s="27">
        <f t="shared" ref="R114" si="1753">AVERAGE(O103:O114)</f>
        <v>2.6278141322584058E-2</v>
      </c>
      <c r="S114" s="26">
        <v>19953911.649999999</v>
      </c>
      <c r="T114" s="26">
        <v>551425.94999999995</v>
      </c>
      <c r="U114" s="26">
        <v>276763.63</v>
      </c>
      <c r="V114" s="26">
        <v>67748.63</v>
      </c>
      <c r="W114" s="26">
        <v>0</v>
      </c>
      <c r="X114" s="26">
        <v>40395.9</v>
      </c>
      <c r="Y114" s="26">
        <v>0</v>
      </c>
      <c r="Z114" s="26">
        <f t="shared" ref="Z114" si="1754">+Z113+Y114</f>
        <v>1101023.4099999997</v>
      </c>
      <c r="AA114" s="4">
        <f t="shared" ref="AA114" si="1755">+Z114/$D$4</f>
        <v>2.4467175519807993E-2</v>
      </c>
      <c r="AB114" s="2">
        <v>15447838.93</v>
      </c>
      <c r="AC114" s="4">
        <f t="shared" ref="AC114" si="1756">+AB114/AB$4</f>
        <v>0.39009694267676764</v>
      </c>
      <c r="AD114" s="2">
        <f t="shared" ref="AD114" si="1757">+AB114*$AD$2</f>
        <v>13165771.815340908</v>
      </c>
      <c r="AE114" s="2">
        <v>768252.27</v>
      </c>
      <c r="AF114" s="8">
        <f t="shared" ref="AF114" si="1758">+AE114/$AE$4</f>
        <v>0.17072272666666666</v>
      </c>
      <c r="AG114" s="2">
        <v>900000</v>
      </c>
      <c r="AH114" s="8">
        <f t="shared" ref="AH114" si="1759">+AG114/$AG$4</f>
        <v>1</v>
      </c>
      <c r="AI114" s="8">
        <f t="shared" ref="AI114" si="1760">+AB114/D114</f>
        <v>0.73005715838148388</v>
      </c>
      <c r="AJ114" s="2">
        <f t="shared" ref="AJ114" si="1761">AB113*1%</f>
        <v>156468.2567</v>
      </c>
      <c r="AK114" s="4">
        <f t="shared" ref="AK114" si="1762">((+D114+AJ114)-AB114)/D114</f>
        <v>0.27733745334258514</v>
      </c>
      <c r="AL114" s="4">
        <f t="shared" ref="AL114" si="1763">+S114/$D114</f>
        <v>0.94301190631291654</v>
      </c>
      <c r="AM114" s="4">
        <f t="shared" ref="AM114" si="1764">+T114/$D114</f>
        <v>2.6060115200515634E-2</v>
      </c>
      <c r="AN114" s="4">
        <f t="shared" ref="AN114" si="1765">+U114/$D114</f>
        <v>1.307971103121441E-2</v>
      </c>
      <c r="AO114" s="4">
        <f t="shared" ref="AO114" si="1766">+V114/$D114</f>
        <v>3.20176644294145E-3</v>
      </c>
      <c r="AP114" s="4">
        <f t="shared" ref="AP114" si="1767">+W114/$D114</f>
        <v>0</v>
      </c>
      <c r="AQ114" s="4">
        <f t="shared" ref="AQ114" si="1768">+X114/$D114</f>
        <v>1.9090900738866381E-3</v>
      </c>
      <c r="AR114" s="4">
        <f t="shared" ref="AR114" si="1769">+Y114/$D114</f>
        <v>0</v>
      </c>
    </row>
    <row r="115" spans="1:44" x14ac:dyDescent="0.25">
      <c r="A115">
        <f t="shared" si="16"/>
        <v>111</v>
      </c>
      <c r="B115" s="3">
        <f t="shared" si="30"/>
        <v>46081</v>
      </c>
      <c r="C115" s="41">
        <v>768</v>
      </c>
      <c r="D115" s="2">
        <v>20975625.59</v>
      </c>
      <c r="E115" s="44">
        <v>7.45</v>
      </c>
      <c r="F115" s="8">
        <f>+D115/D$4</f>
        <v>0.46612479651845568</v>
      </c>
      <c r="G115" s="2">
        <v>80660.039999999994</v>
      </c>
      <c r="N115" s="6">
        <f t="shared" ref="N115" si="1770">+G115/D114</f>
        <v>3.8119532359298636E-3</v>
      </c>
      <c r="O115" s="6">
        <f t="shared" ref="O115" si="1771">1-(+N115-1)^12</f>
        <v>4.4796475891382359E-2</v>
      </c>
      <c r="P115" s="27">
        <f t="shared" ref="P115" si="1772">AVERAGE(O113:O115)</f>
        <v>2.263277818017162E-2</v>
      </c>
      <c r="Q115" s="27">
        <f t="shared" ref="Q115" si="1773">AVERAGE(O110:O115)</f>
        <v>3.0823192981359177E-2</v>
      </c>
      <c r="R115" s="27">
        <f t="shared" ref="R115" si="1774">AVERAGE(O104:O115)</f>
        <v>2.8562197887614604E-2</v>
      </c>
      <c r="S115" s="26">
        <v>19732597.329999998</v>
      </c>
      <c r="T115" s="26">
        <v>424652.85</v>
      </c>
      <c r="U115" s="26">
        <v>377342.46</v>
      </c>
      <c r="V115" s="26">
        <v>120025.48</v>
      </c>
      <c r="W115" s="26">
        <v>11178.52</v>
      </c>
      <c r="X115" s="26">
        <v>40395.9</v>
      </c>
      <c r="Y115" s="26">
        <v>0</v>
      </c>
      <c r="Z115" s="26">
        <f t="shared" ref="Z115" si="1775">+Z114+Y115</f>
        <v>1101023.4099999997</v>
      </c>
      <c r="AA115" s="4">
        <f t="shared" ref="AA115" si="1776">+Z115/$D$4</f>
        <v>2.4467175519807993E-2</v>
      </c>
      <c r="AB115" s="2">
        <v>15263785.710000001</v>
      </c>
      <c r="AC115" s="4">
        <f t="shared" ref="AC115" si="1777">+AB115/AB$4</f>
        <v>0.38544913409090914</v>
      </c>
      <c r="AD115" s="2">
        <f t="shared" ref="AD115" si="1778">+AB115*$AD$2</f>
        <v>13008908.275568184</v>
      </c>
      <c r="AE115" s="2">
        <v>733538.48</v>
      </c>
      <c r="AF115" s="8">
        <f t="shared" ref="AF115" si="1779">+AE115/$AE$4</f>
        <v>0.16300855111111109</v>
      </c>
      <c r="AG115" s="2">
        <v>900000</v>
      </c>
      <c r="AH115" s="8">
        <f t="shared" ref="AH115" si="1780">+AG115/$AG$4</f>
        <v>1</v>
      </c>
      <c r="AI115" s="8">
        <f t="shared" ref="AI115" si="1781">+AB115/D115</f>
        <v>0.72769156011618152</v>
      </c>
      <c r="AJ115" s="2">
        <f t="shared" ref="AJ115" si="1782">AB114*1%</f>
        <v>154478.38930000001</v>
      </c>
      <c r="AK115" s="4">
        <f t="shared" ref="AK115" si="1783">((+D115+AJ115)-AB115)/D115</f>
        <v>0.27967310172130122</v>
      </c>
      <c r="AL115" s="4">
        <f t="shared" ref="AL115" si="1784">+S115/$D115</f>
        <v>0.94073939512952565</v>
      </c>
      <c r="AM115" s="4">
        <f t="shared" ref="AM115" si="1785">+T115/$D115</f>
        <v>2.0245062450125473E-2</v>
      </c>
      <c r="AN115" s="4">
        <f t="shared" ref="AN115" si="1786">+U115/$D115</f>
        <v>1.7989568815525374E-2</v>
      </c>
      <c r="AO115" s="4">
        <f t="shared" ref="AO115" si="1787">+V115/$D115</f>
        <v>5.7221406572598912E-3</v>
      </c>
      <c r="AP115" s="4">
        <f t="shared" ref="AP115" si="1788">+W115/$D115</f>
        <v>5.3292903956720565E-4</v>
      </c>
      <c r="AQ115" s="4">
        <f t="shared" ref="AQ115" si="1789">+X115/$D115</f>
        <v>1.925849592741515E-3</v>
      </c>
      <c r="AR115" s="4">
        <f t="shared" ref="AR115" si="1790">+Y115/$D115</f>
        <v>0</v>
      </c>
    </row>
    <row r="116" spans="1:44" x14ac:dyDescent="0.25">
      <c r="A116">
        <f t="shared" si="16"/>
        <v>112</v>
      </c>
      <c r="B116" s="3">
        <f t="shared" si="30"/>
        <v>46112</v>
      </c>
      <c r="C116" s="41">
        <v>763</v>
      </c>
      <c r="D116" s="2">
        <v>20789214.920000002</v>
      </c>
      <c r="E116" s="44">
        <v>7.45</v>
      </c>
      <c r="F116" s="8">
        <f>+D116/D$4</f>
        <v>0.46198233910998426</v>
      </c>
      <c r="G116" s="2">
        <v>106289.82</v>
      </c>
      <c r="N116" s="6">
        <f t="shared" ref="N116" si="1791">+G116/D115</f>
        <v>5.0673015469284988E-3</v>
      </c>
      <c r="O116" s="6">
        <f t="shared" ref="O116" si="1792">1-(+N116-1)^12</f>
        <v>5.9141202344284438E-2</v>
      </c>
      <c r="P116" s="27">
        <f t="shared" ref="P116" si="1793">AVERAGE(O114:O116)</f>
        <v>4.0075404765605005E-2</v>
      </c>
      <c r="Q116" s="27">
        <f t="shared" ref="Q116" si="1794">AVERAGE(O111:O116)</f>
        <v>4.0680060038739918E-2</v>
      </c>
      <c r="R116" s="27">
        <f t="shared" ref="R116" si="1795">AVERAGE(O105:O116)</f>
        <v>3.0769516604644599E-2</v>
      </c>
      <c r="S116" s="26">
        <v>19517477.219999999</v>
      </c>
      <c r="T116" s="26">
        <v>504633.58</v>
      </c>
      <c r="U116" s="26">
        <v>280154.23</v>
      </c>
      <c r="V116" s="26">
        <v>151389.75</v>
      </c>
      <c r="W116" s="26">
        <v>7922.6</v>
      </c>
      <c r="X116" s="26">
        <v>17896.21</v>
      </c>
      <c r="Y116" s="26">
        <v>40395.9</v>
      </c>
      <c r="Z116" s="26">
        <f t="shared" ref="Z116" si="1796">+Z115+Y116</f>
        <v>1141419.3099999996</v>
      </c>
      <c r="AA116" s="4">
        <f t="shared" ref="AA116" si="1797">+Z116/$D$4</f>
        <v>2.5364861769349781E-2</v>
      </c>
      <c r="AB116" s="2">
        <v>15039797.16</v>
      </c>
      <c r="AC116" s="4">
        <f t="shared" ref="AC116" si="1798">+AB116/AB$4</f>
        <v>0.37979285757575759</v>
      </c>
      <c r="AD116" s="2">
        <f t="shared" ref="AD116" si="1799">+AB116*$AD$2</f>
        <v>12818008.943181818</v>
      </c>
      <c r="AE116" s="2">
        <v>733538.48</v>
      </c>
      <c r="AF116" s="8">
        <f t="shared" ref="AF116" si="1800">+AE116/$AE$4</f>
        <v>0.16300855111111109</v>
      </c>
      <c r="AG116" s="2">
        <v>900000</v>
      </c>
      <c r="AH116" s="8">
        <f t="shared" ref="AH116" si="1801">+AG116/$AG$4</f>
        <v>1</v>
      </c>
      <c r="AI116" s="8">
        <f t="shared" ref="AI116" si="1802">+AB116/D116</f>
        <v>0.7234422857176368</v>
      </c>
      <c r="AJ116" s="2">
        <f t="shared" ref="AJ116" si="1803">AB115*1%</f>
        <v>152637.85710000002</v>
      </c>
      <c r="AK116" s="4">
        <f t="shared" ref="AK116" si="1804">((+D116+AJ116)-AB116)/D116</f>
        <v>0.28389987980844827</v>
      </c>
      <c r="AL116" s="4">
        <f t="shared" ref="AL116" si="1805">+S116/$D116</f>
        <v>0.93882704542264639</v>
      </c>
      <c r="AM116" s="4">
        <f t="shared" ref="AM116" si="1806">+T116/$D116</f>
        <v>2.427381610810727E-2</v>
      </c>
      <c r="AN116" s="4">
        <f t="shared" ref="AN116" si="1807">+U116/$D116</f>
        <v>1.3475940822107771E-2</v>
      </c>
      <c r="AO116" s="4">
        <f t="shared" ref="AO116" si="1808">+V116/$D116</f>
        <v>7.2821292474280694E-3</v>
      </c>
      <c r="AP116" s="4">
        <f t="shared" ref="AP116" si="1809">+W116/$D116</f>
        <v>3.8109183201421248E-4</v>
      </c>
      <c r="AQ116" s="4">
        <f t="shared" ref="AQ116" si="1810">+X116/$D116</f>
        <v>8.6084106922109771E-4</v>
      </c>
      <c r="AR116" s="4">
        <f t="shared" ref="AR116" si="1811">+Y116/$D116</f>
        <v>1.9431181098203778E-3</v>
      </c>
    </row>
    <row r="117" spans="1:44" x14ac:dyDescent="0.25">
      <c r="A117">
        <f t="shared" si="16"/>
        <v>113</v>
      </c>
      <c r="B117" s="3">
        <f>+B116+30</f>
        <v>46142</v>
      </c>
      <c r="C117" s="41">
        <v>759</v>
      </c>
      <c r="D117" s="2">
        <v>20609433.100000001</v>
      </c>
      <c r="E117" s="44">
        <v>7.45</v>
      </c>
      <c r="F117" s="8">
        <f>+D117/D$4</f>
        <v>0.4579871894108416</v>
      </c>
      <c r="G117" s="2">
        <v>75415.759999999995</v>
      </c>
      <c r="N117" s="6">
        <f t="shared" ref="N117" si="1812">+G117/D116</f>
        <v>3.6276386717926136E-3</v>
      </c>
      <c r="O117" s="6">
        <f t="shared" ref="O117" si="1813">1-(+N117-1)^12</f>
        <v>4.2673537069018108E-2</v>
      </c>
      <c r="P117" s="27">
        <f t="shared" ref="P117" si="1814">AVERAGE(O115:O117)</f>
        <v>4.8870405101561633E-2</v>
      </c>
      <c r="Q117" s="27">
        <f t="shared" ref="Q117" si="1815">AVERAGE(O112:O117)</f>
        <v>4.3933524468073991E-2</v>
      </c>
      <c r="R117" s="27">
        <f t="shared" ref="R117" si="1816">AVERAGE(O106:O117)</f>
        <v>3.1550729709747344E-2</v>
      </c>
      <c r="S117" s="26">
        <v>19702808.260000002</v>
      </c>
      <c r="T117" s="26">
        <v>301725.23</v>
      </c>
      <c r="U117" s="26">
        <v>265963.28000000003</v>
      </c>
      <c r="V117" s="26">
        <v>12302.65</v>
      </c>
      <c r="W117" s="26">
        <v>61541.39</v>
      </c>
      <c r="X117" s="26">
        <v>48318.5</v>
      </c>
      <c r="Y117" s="26">
        <v>3255.92</v>
      </c>
      <c r="Z117" s="26">
        <f t="shared" ref="Z117" si="1817">+Z116+Y117</f>
        <v>1144675.2299999995</v>
      </c>
      <c r="AA117" s="4">
        <f t="shared" ref="AA117" si="1818">+Z117/$D$4</f>
        <v>2.5437215513507184E-2</v>
      </c>
      <c r="AB117" s="2">
        <v>14950252.48</v>
      </c>
      <c r="AC117" s="4">
        <f t="shared" ref="AC117" si="1819">+AB117/AB$4</f>
        <v>0.37753162828282827</v>
      </c>
      <c r="AD117" s="2">
        <f t="shared" ref="AD117" si="1820">+AB117*$AD$2</f>
        <v>12741692.454545455</v>
      </c>
      <c r="AE117" s="2">
        <v>606943.78</v>
      </c>
      <c r="AF117" s="8">
        <f t="shared" ref="AF117" si="1821">+AE117/$AE$4</f>
        <v>0.13487639555555556</v>
      </c>
      <c r="AG117" s="2">
        <v>900000</v>
      </c>
      <c r="AH117" s="8">
        <f t="shared" ref="AH117" si="1822">+AG117/$AG$4</f>
        <v>1</v>
      </c>
      <c r="AI117" s="8">
        <f t="shared" ref="AI117" si="1823">+AB117/D117</f>
        <v>0.72540823454285108</v>
      </c>
      <c r="AJ117" s="2">
        <f t="shared" ref="AJ117" si="1824">AB116*1%</f>
        <v>150397.97160000002</v>
      </c>
      <c r="AK117" s="4">
        <f t="shared" ref="AK117" si="1825">((+D117+AJ117)-AB117)/D117</f>
        <v>0.28188929619805991</v>
      </c>
      <c r="AL117" s="4">
        <f t="shared" ref="AL117" si="1826">+S117/$D117</f>
        <v>0.95600922957943957</v>
      </c>
      <c r="AM117" s="4">
        <f t="shared" ref="AM117" si="1827">+T117/$D117</f>
        <v>1.4640151843866096E-2</v>
      </c>
      <c r="AN117" s="4">
        <f t="shared" ref="AN117" si="1828">+U117/$D117</f>
        <v>1.2904929442236817E-2</v>
      </c>
      <c r="AO117" s="4">
        <f t="shared" ref="AO117" si="1829">+V117/$D117</f>
        <v>5.9694266893736149E-4</v>
      </c>
      <c r="AP117" s="4">
        <f t="shared" ref="AP117" si="1830">+W117/$D117</f>
        <v>2.9860787388664269E-3</v>
      </c>
      <c r="AQ117" s="4">
        <f t="shared" ref="AQ117" si="1831">+X117/$D117</f>
        <v>2.3444846719243334E-3</v>
      </c>
      <c r="AR117" s="4">
        <f t="shared" ref="AR117" si="1832">+Y117/$D117</f>
        <v>1.5798202620139027E-4</v>
      </c>
    </row>
    <row r="118" spans="1:44" x14ac:dyDescent="0.25">
      <c r="A118">
        <f t="shared" si="16"/>
        <v>114</v>
      </c>
      <c r="B118" s="3">
        <f>+B117+30</f>
        <v>46172</v>
      </c>
      <c r="C118" s="41">
        <v>754</v>
      </c>
      <c r="D118" s="2">
        <v>20430197.640000001</v>
      </c>
      <c r="E118" s="44">
        <v>7.45</v>
      </c>
      <c r="F118" s="8">
        <f>+D118/D$4</f>
        <v>0.45400418103939061</v>
      </c>
      <c r="G118" s="2">
        <v>91454.01</v>
      </c>
      <c r="N118" s="6">
        <f t="shared" ref="N118" si="1833">+G118/D117</f>
        <v>4.437483047507987E-3</v>
      </c>
      <c r="O118" s="6">
        <f t="shared" ref="O118" si="1834">1-(+N118-1)^12</f>
        <v>5.1969206624180253E-2</v>
      </c>
      <c r="P118" s="27">
        <f t="shared" ref="P118" si="1835">AVERAGE(O116:O118)</f>
        <v>5.1261315345827597E-2</v>
      </c>
      <c r="Q118" s="27">
        <f t="shared" ref="Q118" si="1836">AVERAGE(O113:O118)</f>
        <v>3.6947046762999612E-2</v>
      </c>
      <c r="R118" s="27">
        <f t="shared" ref="R118" si="1837">AVERAGE(O107:O118)</f>
        <v>3.2930667676052787E-2</v>
      </c>
      <c r="S118" s="26">
        <v>19428145.84</v>
      </c>
      <c r="T118" s="26">
        <v>380797.74</v>
      </c>
      <c r="U118" s="26">
        <v>192099.75</v>
      </c>
      <c r="V118" s="26">
        <v>114620.46</v>
      </c>
      <c r="W118" s="26">
        <v>61541.39</v>
      </c>
      <c r="X118" s="26">
        <v>0</v>
      </c>
      <c r="Y118" s="26">
        <v>0</v>
      </c>
      <c r="Z118" s="26">
        <f t="shared" ref="Z118" si="1838">+Z117+Y118</f>
        <v>1144675.2299999995</v>
      </c>
      <c r="AA118" s="4">
        <f t="shared" ref="AA118" si="1839">+Z118/$D$4</f>
        <v>2.5437215513507184E-2</v>
      </c>
      <c r="AB118" s="2">
        <v>14734798.35</v>
      </c>
      <c r="AC118" s="4">
        <f t="shared" ref="AC118" si="1840">+AB118/AB$4</f>
        <v>0.37209086742424241</v>
      </c>
      <c r="AD118" s="2">
        <f t="shared" ref="AD118" si="1841">+AB118*$AD$2</f>
        <v>12558066.775568182</v>
      </c>
      <c r="AE118" s="2">
        <v>606943.78</v>
      </c>
      <c r="AF118" s="8">
        <f t="shared" ref="AF118" si="1842">+AE118/$AE$4</f>
        <v>0.13487639555555556</v>
      </c>
      <c r="AG118" s="2">
        <v>900000</v>
      </c>
      <c r="AH118" s="8">
        <f t="shared" ref="AH118" si="1843">+AG118/$AG$4</f>
        <v>1</v>
      </c>
      <c r="AI118" s="8">
        <f t="shared" ref="AI118" si="1844">+AB118/D118</f>
        <v>0.72122642226186506</v>
      </c>
      <c r="AJ118" s="2">
        <f t="shared" ref="AJ118" si="1845">AB117*1%</f>
        <v>149502.52480000001</v>
      </c>
      <c r="AK118" s="4">
        <f t="shared" ref="AK118" si="1846">((+D118+AJ118)-AB118)/D118</f>
        <v>0.28609130062238591</v>
      </c>
      <c r="AL118" s="4">
        <f t="shared" ref="AL118" si="1847">+S118/$D118</f>
        <v>0.95095241770749694</v>
      </c>
      <c r="AM118" s="4">
        <f t="shared" ref="AM118" si="1848">+T118/$D118</f>
        <v>1.863896506093712E-2</v>
      </c>
      <c r="AN118" s="4">
        <f t="shared" ref="AN118" si="1849">+U118/$D118</f>
        <v>9.402735763255201E-3</v>
      </c>
      <c r="AO118" s="4">
        <f t="shared" ref="AO118" si="1850">+V118/$D118</f>
        <v>5.6103451381001911E-3</v>
      </c>
      <c r="AP118" s="4">
        <f t="shared" ref="AP118" si="1851">+W118/$D118</f>
        <v>3.0122758029275725E-3</v>
      </c>
      <c r="AQ118" s="4">
        <f t="shared" ref="AQ118" si="1852">+X118/$D118</f>
        <v>0</v>
      </c>
      <c r="AR118" s="4">
        <f t="shared" ref="AR118" si="1853">+Y118/$D118</f>
        <v>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R91"/>
  <sheetViews>
    <sheetView showGridLines="0" workbookViewId="0">
      <pane xSplit="2" ySplit="3" topLeftCell="AC79" activePane="bottomRight" state="frozen"/>
      <selection pane="topRight" activeCell="C1" sqref="C1"/>
      <selection pane="bottomLeft" activeCell="A4" sqref="A4"/>
      <selection pane="bottomRight" activeCell="AS91" sqref="AS91"/>
    </sheetView>
  </sheetViews>
  <sheetFormatPr baseColWidth="10" defaultColWidth="9.140625" defaultRowHeight="15" x14ac:dyDescent="0.25"/>
  <cols>
    <col min="4" max="4" width="14.28515625" bestFit="1" customWidth="1"/>
    <col min="7" max="7" width="11.5703125" bestFit="1" customWidth="1"/>
    <col min="8" max="8" width="14.28515625" hidden="1" customWidth="1"/>
    <col min="9" max="9" width="13.28515625" hidden="1" customWidth="1"/>
    <col min="10" max="10" width="12.5703125" hidden="1" customWidth="1"/>
    <col min="11" max="11" width="12.42578125" hidden="1" customWidth="1"/>
    <col min="12" max="12" width="11.42578125" hidden="1" customWidth="1"/>
    <col min="13" max="13" width="15.7109375" hidden="1" customWidth="1"/>
    <col min="14" max="14" width="12.140625" bestFit="1" customWidth="1"/>
    <col min="15" max="15" width="11.42578125" customWidth="1"/>
    <col min="16" max="16" width="12" customWidth="1"/>
    <col min="17" max="17" width="12.42578125" customWidth="1"/>
    <col min="18" max="18" width="12.28515625" customWidth="1"/>
    <col min="19" max="19" width="14.28515625" bestFit="1" customWidth="1"/>
    <col min="20" max="23" width="11.5703125" bestFit="1" customWidth="1"/>
    <col min="24" max="25" width="10.5703125" bestFit="1" customWidth="1"/>
    <col min="28" max="28" width="15.140625" bestFit="1" customWidth="1"/>
    <col min="30" max="30" width="15.140625" bestFit="1" customWidth="1"/>
    <col min="31" max="31" width="13.28515625" bestFit="1" customWidth="1"/>
    <col min="33" max="33" width="13.28515625" bestFit="1" customWidth="1"/>
    <col min="36" max="36" width="14.85546875" bestFit="1" customWidth="1"/>
    <col min="38" max="38" width="13.140625" bestFit="1" customWidth="1"/>
  </cols>
  <sheetData>
    <row r="1" spans="1:44" x14ac:dyDescent="0.25">
      <c r="G1" s="35" t="s">
        <v>50</v>
      </c>
      <c r="H1" s="35" t="s">
        <v>52</v>
      </c>
      <c r="I1" s="35" t="s">
        <v>52</v>
      </c>
      <c r="J1" s="35" t="s">
        <v>46</v>
      </c>
      <c r="K1" s="35" t="s">
        <v>46</v>
      </c>
      <c r="M1" s="35" t="s">
        <v>20</v>
      </c>
      <c r="N1" s="35"/>
      <c r="O1" s="35"/>
    </row>
    <row r="2" spans="1:44" x14ac:dyDescent="0.25">
      <c r="B2" s="24" t="s">
        <v>32</v>
      </c>
      <c r="G2" s="24" t="s">
        <v>51</v>
      </c>
      <c r="H2" s="24" t="s">
        <v>53</v>
      </c>
      <c r="I2" s="24" t="s">
        <v>55</v>
      </c>
      <c r="J2" s="24" t="s">
        <v>57</v>
      </c>
      <c r="K2" s="24" t="s">
        <v>35</v>
      </c>
      <c r="L2" s="24" t="s">
        <v>38</v>
      </c>
      <c r="M2" s="35" t="s">
        <v>59</v>
      </c>
      <c r="N2" s="35"/>
      <c r="O2" s="35"/>
      <c r="P2" s="24" t="s">
        <v>43</v>
      </c>
      <c r="Q2" s="24" t="s">
        <v>47</v>
      </c>
      <c r="R2" s="24" t="s">
        <v>48</v>
      </c>
      <c r="Z2" s="24" t="s">
        <v>40</v>
      </c>
      <c r="AD2">
        <f>45/55.2</f>
        <v>0.81521739130434778</v>
      </c>
    </row>
    <row r="3" spans="1:44" s="29" customFormat="1" ht="12.75" x14ac:dyDescent="0.2">
      <c r="A3" s="24" t="s">
        <v>17</v>
      </c>
      <c r="B3" s="28" t="s">
        <v>33</v>
      </c>
      <c r="C3" s="24" t="s">
        <v>0</v>
      </c>
      <c r="D3" s="24" t="s">
        <v>18</v>
      </c>
      <c r="E3" s="24" t="s">
        <v>26</v>
      </c>
      <c r="F3" s="24" t="s">
        <v>6</v>
      </c>
      <c r="G3" s="28" t="s">
        <v>36</v>
      </c>
      <c r="H3" s="28" t="s">
        <v>54</v>
      </c>
      <c r="I3" s="28" t="s">
        <v>56</v>
      </c>
      <c r="J3" s="28" t="s">
        <v>58</v>
      </c>
      <c r="K3" s="28" t="s">
        <v>37</v>
      </c>
      <c r="L3" s="28" t="s">
        <v>39</v>
      </c>
      <c r="M3" s="30" t="s">
        <v>35</v>
      </c>
      <c r="N3" s="28" t="s">
        <v>60</v>
      </c>
      <c r="O3" s="28" t="s">
        <v>61</v>
      </c>
      <c r="P3" s="28" t="s">
        <v>44</v>
      </c>
      <c r="Q3" s="28" t="s">
        <v>44</v>
      </c>
      <c r="R3" s="28" t="s">
        <v>44</v>
      </c>
      <c r="S3" s="24" t="s">
        <v>9</v>
      </c>
      <c r="T3" s="24" t="s">
        <v>10</v>
      </c>
      <c r="U3" s="24" t="s">
        <v>11</v>
      </c>
      <c r="V3" s="24" t="s">
        <v>12</v>
      </c>
      <c r="W3" s="24" t="s">
        <v>13</v>
      </c>
      <c r="X3" s="24" t="s">
        <v>14</v>
      </c>
      <c r="Y3" s="24" t="s">
        <v>15</v>
      </c>
      <c r="Z3" s="28" t="s">
        <v>41</v>
      </c>
      <c r="AA3" s="24" t="s">
        <v>16</v>
      </c>
      <c r="AB3" s="24" t="s">
        <v>1</v>
      </c>
      <c r="AC3" s="24" t="s">
        <v>3</v>
      </c>
      <c r="AD3" s="24" t="s">
        <v>31</v>
      </c>
      <c r="AE3" s="24" t="s">
        <v>2</v>
      </c>
      <c r="AF3" s="24" t="s">
        <v>4</v>
      </c>
      <c r="AG3" s="24" t="s">
        <v>27</v>
      </c>
      <c r="AH3" s="24" t="s">
        <v>28</v>
      </c>
      <c r="AI3" s="24" t="s">
        <v>5</v>
      </c>
      <c r="AJ3" s="24" t="s">
        <v>65</v>
      </c>
      <c r="AK3" s="24" t="s">
        <v>22</v>
      </c>
      <c r="AL3" s="24" t="s">
        <v>9</v>
      </c>
      <c r="AM3" s="24" t="s">
        <v>10</v>
      </c>
      <c r="AN3" s="24" t="s">
        <v>11</v>
      </c>
      <c r="AO3" s="24" t="s">
        <v>12</v>
      </c>
      <c r="AP3" s="24" t="s">
        <v>13</v>
      </c>
      <c r="AQ3" s="24" t="s">
        <v>14</v>
      </c>
      <c r="AR3" s="24" t="s">
        <v>19</v>
      </c>
    </row>
    <row r="4" spans="1:44" x14ac:dyDescent="0.25">
      <c r="A4">
        <v>0</v>
      </c>
      <c r="B4" s="3">
        <v>43510</v>
      </c>
      <c r="C4" s="10">
        <v>2177</v>
      </c>
      <c r="D4" s="2">
        <v>60000073.350000001</v>
      </c>
      <c r="E4" s="32">
        <v>6.3100000000000003E-2</v>
      </c>
      <c r="F4" s="8">
        <f t="shared" ref="F4:F9" si="0">+D4/$D$4</f>
        <v>1</v>
      </c>
      <c r="G4" s="8"/>
      <c r="H4" s="8"/>
      <c r="I4" s="8"/>
      <c r="J4" s="8"/>
      <c r="K4" s="8"/>
      <c r="L4" s="8"/>
      <c r="M4" s="8"/>
      <c r="N4" s="39"/>
      <c r="O4" s="8"/>
      <c r="AB4" s="2">
        <v>55200000</v>
      </c>
      <c r="AC4" s="8">
        <f t="shared" ref="AC4:AC9" si="1">+AB4/$AB$4</f>
        <v>1</v>
      </c>
      <c r="AD4" s="2">
        <f t="shared" ref="AD4:AD9" si="2">AB4*$AD$2</f>
        <v>45000000</v>
      </c>
      <c r="AE4" s="2">
        <v>3600000</v>
      </c>
      <c r="AF4" s="8">
        <f t="shared" ref="AF4:AF6" si="3">+AE4/$AE$4</f>
        <v>1</v>
      </c>
      <c r="AG4" s="2">
        <v>1200000</v>
      </c>
      <c r="AH4" s="8">
        <f t="shared" ref="AH4:AH6" si="4">+AG4/$AG$4</f>
        <v>1</v>
      </c>
      <c r="AI4" s="8">
        <f t="shared" ref="AI4:AI6" si="5">+AB4/D4</f>
        <v>0.91999887530137492</v>
      </c>
      <c r="AJ4" s="2">
        <v>690000</v>
      </c>
      <c r="AK4" s="4">
        <f t="shared" ref="AK4:AK9" si="6">((+D4+AJ4)-AB4)/D4</f>
        <v>9.1501110639892261E-2</v>
      </c>
      <c r="AL4" s="2"/>
      <c r="AM4" s="2"/>
      <c r="AN4" s="2"/>
      <c r="AO4" s="2"/>
      <c r="AP4" s="2"/>
      <c r="AQ4" s="2"/>
      <c r="AR4" s="2"/>
    </row>
    <row r="5" spans="1:44" x14ac:dyDescent="0.25">
      <c r="A5">
        <f t="shared" ref="A5:A21" si="7">A4+1</f>
        <v>1</v>
      </c>
      <c r="B5" s="3">
        <v>43538</v>
      </c>
      <c r="C5">
        <v>2170</v>
      </c>
      <c r="D5" s="2">
        <v>59338159.159999996</v>
      </c>
      <c r="E5" s="32">
        <v>6.3100000000000003E-2</v>
      </c>
      <c r="F5" s="8">
        <f t="shared" si="0"/>
        <v>0.98896811031981835</v>
      </c>
      <c r="G5" s="2">
        <v>155262.72</v>
      </c>
      <c r="H5" s="8"/>
      <c r="I5" s="8"/>
      <c r="J5" s="8"/>
      <c r="K5" s="8"/>
      <c r="L5" s="8"/>
      <c r="M5" s="8"/>
      <c r="N5" s="6">
        <f t="shared" ref="N5:N10" si="8">G5/D4</f>
        <v>2.5877088365259472E-3</v>
      </c>
      <c r="O5" s="6">
        <f t="shared" ref="O5:O6" si="9">1-(+N5-1)^12</f>
        <v>3.0614344431417528E-2</v>
      </c>
      <c r="P5" s="40" t="s">
        <v>63</v>
      </c>
      <c r="Q5" s="40" t="s">
        <v>63</v>
      </c>
      <c r="R5" s="40" t="s">
        <v>63</v>
      </c>
      <c r="S5" s="26">
        <v>58725492</v>
      </c>
      <c r="T5" s="26">
        <v>599049</v>
      </c>
      <c r="U5" s="26">
        <v>13618</v>
      </c>
      <c r="V5" s="26">
        <v>0</v>
      </c>
      <c r="W5" s="26">
        <v>0</v>
      </c>
      <c r="X5" s="26">
        <v>0</v>
      </c>
      <c r="Y5" s="26">
        <v>0</v>
      </c>
      <c r="Z5" s="26">
        <f>Z4+Y5</f>
        <v>0</v>
      </c>
      <c r="AA5" s="4">
        <f t="shared" ref="AA5:AA10" si="10">Z5/$D$4</f>
        <v>0</v>
      </c>
      <c r="AB5" s="2">
        <v>54694610</v>
      </c>
      <c r="AC5" s="8">
        <f t="shared" si="1"/>
        <v>0.99084438405797104</v>
      </c>
      <c r="AD5" s="2">
        <f t="shared" si="2"/>
        <v>44587997.282608695</v>
      </c>
      <c r="AE5" s="2">
        <v>3600000</v>
      </c>
      <c r="AF5" s="8">
        <f t="shared" si="3"/>
        <v>1</v>
      </c>
      <c r="AG5" s="2">
        <v>1200000</v>
      </c>
      <c r="AH5" s="8">
        <f t="shared" si="4"/>
        <v>1</v>
      </c>
      <c r="AI5" s="8">
        <f t="shared" si="5"/>
        <v>0.92174430036700183</v>
      </c>
      <c r="AJ5" s="2">
        <v>690000</v>
      </c>
      <c r="AK5" s="4">
        <f t="shared" si="6"/>
        <v>8.9883967340789295E-2</v>
      </c>
      <c r="AL5" s="4">
        <f t="shared" ref="AL5:AR5" si="11">+S5/$D5</f>
        <v>0.98967498876485205</v>
      </c>
      <c r="AM5" s="4">
        <f t="shared" si="11"/>
        <v>1.0095510350847225E-2</v>
      </c>
      <c r="AN5" s="4">
        <f t="shared" si="11"/>
        <v>2.2949818789086952E-4</v>
      </c>
      <c r="AO5" s="4">
        <f t="shared" si="11"/>
        <v>0</v>
      </c>
      <c r="AP5" s="4">
        <f t="shared" si="11"/>
        <v>0</v>
      </c>
      <c r="AQ5" s="4">
        <f t="shared" si="11"/>
        <v>0</v>
      </c>
      <c r="AR5" s="4">
        <f t="shared" si="11"/>
        <v>0</v>
      </c>
    </row>
    <row r="6" spans="1:44" x14ac:dyDescent="0.25">
      <c r="A6">
        <f t="shared" si="7"/>
        <v>2</v>
      </c>
      <c r="B6" s="3">
        <v>43569</v>
      </c>
      <c r="C6">
        <v>2167</v>
      </c>
      <c r="D6" s="2">
        <v>59140449.859999999</v>
      </c>
      <c r="E6" s="32">
        <v>6.3100000000000003E-2</v>
      </c>
      <c r="F6" s="8">
        <f t="shared" si="0"/>
        <v>0.98567295934814048</v>
      </c>
      <c r="G6" s="2">
        <v>31326.74</v>
      </c>
      <c r="H6" s="8"/>
      <c r="I6" s="8"/>
      <c r="J6" s="8"/>
      <c r="K6" s="8"/>
      <c r="L6" s="8"/>
      <c r="M6" s="8"/>
      <c r="N6" s="6">
        <f t="shared" si="8"/>
        <v>5.2793582482952108E-4</v>
      </c>
      <c r="O6" s="6">
        <f t="shared" si="9"/>
        <v>6.3168669597581939E-3</v>
      </c>
      <c r="P6" s="40" t="s">
        <v>63</v>
      </c>
      <c r="Q6" s="40" t="s">
        <v>63</v>
      </c>
      <c r="R6" s="40" t="s">
        <v>63</v>
      </c>
      <c r="S6" s="26">
        <v>59019062</v>
      </c>
      <c r="T6" s="26">
        <v>121388</v>
      </c>
      <c r="U6" s="26">
        <v>0</v>
      </c>
      <c r="V6" s="26">
        <v>0</v>
      </c>
      <c r="W6" s="26">
        <v>0</v>
      </c>
      <c r="X6" s="26">
        <v>0</v>
      </c>
      <c r="Y6" s="26">
        <v>0</v>
      </c>
      <c r="Z6" s="26">
        <v>0</v>
      </c>
      <c r="AA6" s="4">
        <f t="shared" si="10"/>
        <v>0</v>
      </c>
      <c r="AB6" s="2">
        <v>54483712.609999999</v>
      </c>
      <c r="AC6" s="8">
        <f t="shared" si="1"/>
        <v>0.98702377916666661</v>
      </c>
      <c r="AD6" s="2">
        <f t="shared" si="2"/>
        <v>44416070.0625</v>
      </c>
      <c r="AE6" s="2">
        <v>3600000</v>
      </c>
      <c r="AF6" s="8">
        <f t="shared" si="3"/>
        <v>1</v>
      </c>
      <c r="AG6" s="2">
        <v>1200000</v>
      </c>
      <c r="AH6" s="8">
        <f t="shared" si="4"/>
        <v>1</v>
      </c>
      <c r="AI6" s="8">
        <f t="shared" si="5"/>
        <v>0.92125969178415712</v>
      </c>
      <c r="AJ6" s="2">
        <v>657360.85</v>
      </c>
      <c r="AK6" s="4">
        <f t="shared" si="6"/>
        <v>8.9855557618851056E-2</v>
      </c>
      <c r="AL6" s="4">
        <f t="shared" ref="AL6" si="12">+S6/$D6</f>
        <v>0.99794746471683338</v>
      </c>
      <c r="AM6" s="4">
        <f t="shared" ref="AM6" si="13">+T6/$D6</f>
        <v>2.0525376504127932E-3</v>
      </c>
      <c r="AN6" s="4">
        <f t="shared" ref="AN6" si="14">+U6/$D6</f>
        <v>0</v>
      </c>
      <c r="AO6" s="4">
        <f t="shared" ref="AO6" si="15">+V6/$D6</f>
        <v>0</v>
      </c>
      <c r="AP6" s="4">
        <f t="shared" ref="AP6" si="16">+W6/$D6</f>
        <v>0</v>
      </c>
      <c r="AQ6" s="4">
        <f t="shared" ref="AQ6" si="17">+X6/$D6</f>
        <v>0</v>
      </c>
      <c r="AR6" s="4">
        <f t="shared" ref="AR6" si="18">+Y6/$D6</f>
        <v>0</v>
      </c>
    </row>
    <row r="7" spans="1:44" x14ac:dyDescent="0.25">
      <c r="A7">
        <f t="shared" si="7"/>
        <v>3</v>
      </c>
      <c r="B7" s="3">
        <f t="shared" ref="B7:B21" si="19">+B6+31</f>
        <v>43600</v>
      </c>
      <c r="C7" s="41">
        <f>'[322]Part 1'!$C$18</f>
        <v>2155</v>
      </c>
      <c r="D7" s="2">
        <f>'[322]Part 1'!$C$22</f>
        <v>58837312.909999996</v>
      </c>
      <c r="E7" s="32">
        <f>'[322]Part 1'!$E$22</f>
        <v>6.3100000000000003E-2</v>
      </c>
      <c r="F7" s="8">
        <f t="shared" si="0"/>
        <v>0.9806206830245483</v>
      </c>
      <c r="G7" s="2">
        <f>'[322]Parts 2 - 3'!$C$49</f>
        <v>131121.66</v>
      </c>
      <c r="H7" s="8"/>
      <c r="I7" s="8"/>
      <c r="J7" s="8"/>
      <c r="K7" s="8"/>
      <c r="L7" s="8"/>
      <c r="M7" s="8"/>
      <c r="N7" s="6">
        <f t="shared" si="8"/>
        <v>2.2171231417819318E-3</v>
      </c>
      <c r="O7" s="6">
        <f t="shared" ref="O7" si="20">1-(+N7-1)^12</f>
        <v>2.6283431556080705E-2</v>
      </c>
      <c r="P7" s="20">
        <f>AVERAGE(O5:O7)</f>
        <v>2.1071547649085476E-2</v>
      </c>
      <c r="Q7" s="40" t="s">
        <v>63</v>
      </c>
      <c r="R7" s="40" t="s">
        <v>63</v>
      </c>
      <c r="S7" s="26">
        <f>'[322]Parts 7-10'!$C$4</f>
        <v>58076460.140000001</v>
      </c>
      <c r="T7" s="26">
        <f>'[322]Parts 7-10'!$E$4</f>
        <v>549622.98</v>
      </c>
      <c r="U7" s="26">
        <f>'[322]Parts 7-10'!$F$4</f>
        <v>185485.33</v>
      </c>
      <c r="V7" s="26">
        <f>'[322]Parts 7-10'!$G$4</f>
        <v>25744.46</v>
      </c>
      <c r="W7" s="26">
        <f>'[322]Parts 7-10'!$H$4</f>
        <v>0</v>
      </c>
      <c r="X7" s="26">
        <f>'[322]Parts 7-10'!$J$4</f>
        <v>0</v>
      </c>
      <c r="Y7" s="26">
        <f>'[322]Part 11'!$D$51</f>
        <v>0</v>
      </c>
      <c r="Z7" s="26">
        <f t="shared" ref="Z7:Z12" si="21">Z6+Y7</f>
        <v>0</v>
      </c>
      <c r="AA7" s="4">
        <f t="shared" si="10"/>
        <v>0</v>
      </c>
      <c r="AB7" s="2">
        <f>'[322]Part 11'!$V$8</f>
        <v>54142694.460000001</v>
      </c>
      <c r="AC7" s="8">
        <f t="shared" si="1"/>
        <v>0.98084591413043476</v>
      </c>
      <c r="AD7" s="2">
        <f t="shared" si="2"/>
        <v>44138066.135869563</v>
      </c>
      <c r="AE7" s="2">
        <f>'[322]Part 11'!$V$9</f>
        <v>3600000</v>
      </c>
      <c r="AF7" s="8">
        <f t="shared" ref="AF7" si="22">+AE7/$AE$4</f>
        <v>1</v>
      </c>
      <c r="AG7" s="2">
        <f>'[322]Part 11'!$V$10</f>
        <v>1200000</v>
      </c>
      <c r="AH7" s="8">
        <f t="shared" ref="AH7" si="23">+AG7/$AG$4</f>
        <v>1</v>
      </c>
      <c r="AI7" s="8">
        <f t="shared" ref="AI7" si="24">+AB7/D7</f>
        <v>0.92021018265771115</v>
      </c>
      <c r="AJ7" s="2">
        <f>'[322]Parts 4 - 6 '!$C$31</f>
        <v>654826.12093143747</v>
      </c>
      <c r="AK7" s="4">
        <f t="shared" si="6"/>
        <v>9.0919253554528706E-2</v>
      </c>
      <c r="AL7" s="4">
        <f t="shared" ref="AL7" si="25">+S7/$D7</f>
        <v>0.98706853300449282</v>
      </c>
      <c r="AM7" s="4">
        <f t="shared" ref="AM7" si="26">+T7/$D7</f>
        <v>9.3414017876840526E-3</v>
      </c>
      <c r="AN7" s="4">
        <f t="shared" ref="AN7" si="27">+U7/$D7</f>
        <v>3.15251191507889E-3</v>
      </c>
      <c r="AO7" s="4">
        <f t="shared" ref="AO7" si="28">+V7/$D7</f>
        <v>4.375532927443474E-4</v>
      </c>
      <c r="AP7" s="4">
        <f t="shared" ref="AP7" si="29">+W7/$D7</f>
        <v>0</v>
      </c>
      <c r="AQ7" s="4">
        <f t="shared" ref="AQ7" si="30">+X7/$D7</f>
        <v>0</v>
      </c>
      <c r="AR7" s="4">
        <f t="shared" ref="AR7" si="31">+Y7/$D7</f>
        <v>0</v>
      </c>
    </row>
    <row r="8" spans="1:44" x14ac:dyDescent="0.25">
      <c r="A8">
        <f t="shared" si="7"/>
        <v>4</v>
      </c>
      <c r="B8" s="3">
        <f t="shared" si="19"/>
        <v>43631</v>
      </c>
      <c r="C8" s="41">
        <f>'[323]Part 1'!$C$18</f>
        <v>2144</v>
      </c>
      <c r="D8" s="2">
        <f>'[323]Part 1'!$C$22</f>
        <v>58323508.799999997</v>
      </c>
      <c r="E8" s="32">
        <f>'[323]Part 1'!$E$22</f>
        <v>6.3100000000000003E-2</v>
      </c>
      <c r="F8" s="8">
        <f>+D8/$D$4</f>
        <v>0.97205729165996091</v>
      </c>
      <c r="G8" s="2">
        <f>'[323]Parts 2 - 3'!$C$49</f>
        <v>257569.74</v>
      </c>
      <c r="H8" s="8"/>
      <c r="I8" s="8"/>
      <c r="J8" s="8"/>
      <c r="K8" s="8"/>
      <c r="L8" s="8"/>
      <c r="M8" s="8"/>
      <c r="N8" s="6">
        <f t="shared" si="8"/>
        <v>4.3776598090736977E-3</v>
      </c>
      <c r="O8" s="6">
        <f t="shared" ref="O8" si="32">1-(+N8-1)^12</f>
        <v>5.1285375900560592E-2</v>
      </c>
      <c r="P8" s="20">
        <f t="shared" ref="P8:P24" si="33">AVERAGE(O6:O8)</f>
        <v>2.7961891472133165E-2</v>
      </c>
      <c r="Q8" s="40" t="s">
        <v>63</v>
      </c>
      <c r="R8" s="40" t="s">
        <v>63</v>
      </c>
      <c r="S8" s="26">
        <f>'[323]Parts 7-10'!$C$4</f>
        <v>57313224.329999998</v>
      </c>
      <c r="T8" s="26">
        <f>'[323]Parts 7-10'!$E$4</f>
        <v>786013.83</v>
      </c>
      <c r="U8" s="26">
        <f>'[323]Parts 7-10'!$F$4</f>
        <v>194749.4</v>
      </c>
      <c r="V8" s="26">
        <f>'[323]Parts 7-10'!$G$4</f>
        <v>29521.24</v>
      </c>
      <c r="W8" s="26">
        <f>'[323]Parts 7-10'!$H$4</f>
        <v>0</v>
      </c>
      <c r="X8" s="26">
        <f>'[323]Parts 7-10'!$J$4</f>
        <v>0</v>
      </c>
      <c r="Y8" s="26">
        <f>'[323]Part 11'!$D$51</f>
        <v>0</v>
      </c>
      <c r="Z8" s="26">
        <f t="shared" si="21"/>
        <v>0</v>
      </c>
      <c r="AA8" s="4">
        <f t="shared" si="10"/>
        <v>0</v>
      </c>
      <c r="AB8" s="2">
        <f>'[323]Part 11'!$V$8</f>
        <v>53564222.5</v>
      </c>
      <c r="AC8" s="8">
        <f t="shared" si="1"/>
        <v>0.9703663496376812</v>
      </c>
      <c r="AD8" s="2">
        <f t="shared" si="2"/>
        <v>43666485.733695649</v>
      </c>
      <c r="AE8" s="2">
        <f>'[323]Part 11'!$V$9</f>
        <v>3600000</v>
      </c>
      <c r="AF8" s="8">
        <f t="shared" ref="AF8" si="34">+AE8/$AE$4</f>
        <v>1</v>
      </c>
      <c r="AG8" s="2">
        <f>'[323]Part 11'!$V$10</f>
        <v>1200000</v>
      </c>
      <c r="AH8" s="8">
        <f t="shared" ref="AH8" si="35">+AG8/$AG$4</f>
        <v>1</v>
      </c>
      <c r="AI8" s="8">
        <f t="shared" ref="AI8" si="36">+AB8/D8</f>
        <v>0.9183984914844493</v>
      </c>
      <c r="AJ8" s="2">
        <f>'[323]Parts 4 - 6 '!$C$31</f>
        <v>650727.50904112495</v>
      </c>
      <c r="AK8" s="4">
        <f t="shared" si="6"/>
        <v>9.2758716345288206E-2</v>
      </c>
      <c r="AL8" s="4">
        <f t="shared" ref="AL8" si="37">+S8/$D8</f>
        <v>0.98267792026257517</v>
      </c>
      <c r="AM8" s="4">
        <f t="shared" ref="AM8" si="38">+T8/$D8</f>
        <v>1.3476792569105512E-2</v>
      </c>
      <c r="AN8" s="4">
        <f t="shared" ref="AN8" si="39">+U8/$D8</f>
        <v>3.3391235199484431E-3</v>
      </c>
      <c r="AO8" s="4">
        <f t="shared" ref="AO8" si="40">+V8/$D8</f>
        <v>5.0616364837089507E-4</v>
      </c>
      <c r="AP8" s="4">
        <f t="shared" ref="AP8" si="41">+W8/$D8</f>
        <v>0</v>
      </c>
      <c r="AQ8" s="4">
        <f t="shared" ref="AQ8" si="42">+X8/$D8</f>
        <v>0</v>
      </c>
      <c r="AR8" s="4">
        <f t="shared" ref="AR8" si="43">+Y8/$D8</f>
        <v>0</v>
      </c>
    </row>
    <row r="9" spans="1:44" x14ac:dyDescent="0.25">
      <c r="A9">
        <f t="shared" si="7"/>
        <v>5</v>
      </c>
      <c r="B9" s="3">
        <f t="shared" si="19"/>
        <v>43662</v>
      </c>
      <c r="C9" s="41">
        <f>'[324]Part 1'!$C$18</f>
        <v>2131</v>
      </c>
      <c r="D9" s="2">
        <f>'[324]Part 1'!$C$22</f>
        <v>57886466.920000002</v>
      </c>
      <c r="E9" s="32">
        <f>'[324]Part 1'!$E$22</f>
        <v>6.3100000000000003E-2</v>
      </c>
      <c r="F9" s="8">
        <f t="shared" si="0"/>
        <v>0.96477326923134499</v>
      </c>
      <c r="G9" s="2">
        <f>'[324]Parts 2 - 3'!$C$49</f>
        <v>257686.09</v>
      </c>
      <c r="H9" s="8"/>
      <c r="I9" s="8"/>
      <c r="J9" s="8"/>
      <c r="K9" s="8"/>
      <c r="L9" s="8"/>
      <c r="M9" s="8"/>
      <c r="N9" s="6">
        <f t="shared" si="8"/>
        <v>4.4182199476997175E-3</v>
      </c>
      <c r="O9" s="6">
        <f t="shared" ref="O9" si="44">1-(+N9-1)^12</f>
        <v>5.174906227315923E-2</v>
      </c>
      <c r="P9" s="20">
        <f t="shared" si="33"/>
        <v>4.3105956576600178E-2</v>
      </c>
      <c r="Q9" s="40" t="s">
        <v>63</v>
      </c>
      <c r="R9" s="40" t="s">
        <v>63</v>
      </c>
      <c r="S9" s="26">
        <f>'[324]Parts 7-10'!$C$4</f>
        <v>56709556.300000004</v>
      </c>
      <c r="T9" s="26">
        <f>'[324]Parts 7-10'!$E$4</f>
        <v>800564.92</v>
      </c>
      <c r="U9" s="26">
        <f>'[324]Parts 7-10'!$F$4</f>
        <v>358601.45</v>
      </c>
      <c r="V9" s="26">
        <f>'[324]Parts 7-10'!$G$4</f>
        <v>0</v>
      </c>
      <c r="W9" s="26">
        <f>'[324]Parts 7-10'!$H$4</f>
        <v>17744.25</v>
      </c>
      <c r="X9" s="26">
        <f>'[324]Parts 7-10'!$J$4</f>
        <v>0</v>
      </c>
      <c r="Y9" s="26">
        <f>'[324]Part 11'!$D$51</f>
        <v>0</v>
      </c>
      <c r="Z9" s="26">
        <f t="shared" si="21"/>
        <v>0</v>
      </c>
      <c r="AA9" s="4">
        <f t="shared" si="10"/>
        <v>0</v>
      </c>
      <c r="AB9" s="2">
        <f>'[324]Part 11'!$V$8</f>
        <v>53097231.649999999</v>
      </c>
      <c r="AC9" s="8">
        <f t="shared" si="1"/>
        <v>0.96190637047101446</v>
      </c>
      <c r="AD9" s="2">
        <f t="shared" si="2"/>
        <v>43285786.671195649</v>
      </c>
      <c r="AE9" s="2">
        <f>'[324]Part 11'!$V$9</f>
        <v>3600000</v>
      </c>
      <c r="AF9" s="8">
        <f t="shared" ref="AF9" si="45">+AE9/$AE$4</f>
        <v>1</v>
      </c>
      <c r="AG9" s="2">
        <f>'[324]Part 11'!$V$10</f>
        <v>1200000</v>
      </c>
      <c r="AH9" s="8">
        <f t="shared" ref="AH9" si="46">+AG9/$AG$4</f>
        <v>1</v>
      </c>
      <c r="AI9" s="8">
        <f t="shared" ref="AI9" si="47">+AB9/D9</f>
        <v>0.91726502713287372</v>
      </c>
      <c r="AJ9" s="2">
        <f>'[324]Parts 4 - 6 '!$C$31</f>
        <v>643774.99917187495</v>
      </c>
      <c r="AK9" s="4">
        <f t="shared" si="6"/>
        <v>9.3856311470527018E-2</v>
      </c>
      <c r="AL9" s="4">
        <f t="shared" ref="AL9" si="48">+S9/$D9</f>
        <v>0.97966863962130379</v>
      </c>
      <c r="AM9" s="4">
        <f t="shared" ref="AM9" si="49">+T9/$D9</f>
        <v>1.3829915049166728E-2</v>
      </c>
      <c r="AN9" s="4">
        <f t="shared" ref="AN9" si="50">+U9/$D9</f>
        <v>6.1949099518475159E-3</v>
      </c>
      <c r="AO9" s="4">
        <f t="shared" ref="AO9" si="51">+V9/$D9</f>
        <v>0</v>
      </c>
      <c r="AP9" s="4">
        <f t="shared" ref="AP9" si="52">+W9/$D9</f>
        <v>3.0653537768202073E-4</v>
      </c>
      <c r="AQ9" s="4">
        <f t="shared" ref="AQ9" si="53">+X9/$D9</f>
        <v>0</v>
      </c>
      <c r="AR9" s="4">
        <f t="shared" ref="AR9" si="54">+Y9/$D9</f>
        <v>0</v>
      </c>
    </row>
    <row r="10" spans="1:44" x14ac:dyDescent="0.25">
      <c r="A10">
        <f t="shared" si="7"/>
        <v>6</v>
      </c>
      <c r="B10" s="3">
        <f t="shared" si="19"/>
        <v>43693</v>
      </c>
      <c r="C10" s="41">
        <f>'[325]Part 1'!$C$18</f>
        <v>2119</v>
      </c>
      <c r="D10" s="2">
        <f>'[325]Part 1'!$C$22</f>
        <v>57409015.299999997</v>
      </c>
      <c r="E10" s="32">
        <f>'[325]Part 1'!$E$22</f>
        <v>6.3E-2</v>
      </c>
      <c r="F10" s="8">
        <f t="shared" ref="F10" si="55">+D10/$D$4</f>
        <v>0.95681575195940982</v>
      </c>
      <c r="G10" s="2">
        <f>'[325]Parts 2 - 3'!$C$49</f>
        <v>302939.33</v>
      </c>
      <c r="H10" s="8"/>
      <c r="I10" s="8"/>
      <c r="J10" s="8"/>
      <c r="K10" s="8"/>
      <c r="L10" s="8"/>
      <c r="M10" s="8"/>
      <c r="N10" s="6">
        <f t="shared" si="8"/>
        <v>5.2333359784881477E-3</v>
      </c>
      <c r="O10" s="6">
        <f t="shared" ref="O10" si="56">1-(+N10-1)^12</f>
        <v>6.1023600885147133E-2</v>
      </c>
      <c r="P10" s="20">
        <f t="shared" si="33"/>
        <v>5.4686013019622316E-2</v>
      </c>
      <c r="Q10" s="20">
        <f>AVERAGE(O5:O10)</f>
        <v>3.78787803343539E-2</v>
      </c>
      <c r="R10" s="40" t="s">
        <v>63</v>
      </c>
      <c r="S10" s="26">
        <f>'[325]Parts 7-10'!$C$4</f>
        <v>56341425.440000005</v>
      </c>
      <c r="T10" s="26">
        <f>'[325]Parts 7-10'!$E$4</f>
        <v>653066.43999999994</v>
      </c>
      <c r="U10" s="26">
        <f>'[325]Parts 7-10'!$F$4</f>
        <v>332629.81</v>
      </c>
      <c r="V10" s="26">
        <f>'[325]Parts 7-10'!$G$4</f>
        <v>64149.36</v>
      </c>
      <c r="W10" s="26">
        <f>'[325]Parts 7-10'!$H$4</f>
        <v>0</v>
      </c>
      <c r="X10" s="26">
        <f>'[325]Parts 7-10'!$J$4</f>
        <v>17744.25</v>
      </c>
      <c r="Y10" s="26">
        <f>'[325]Part 11'!$D$51</f>
        <v>0</v>
      </c>
      <c r="Z10" s="26">
        <f t="shared" si="21"/>
        <v>0</v>
      </c>
      <c r="AA10" s="4">
        <f t="shared" si="10"/>
        <v>0</v>
      </c>
      <c r="AB10" s="2">
        <f>'[325]Part 11'!$V$8</f>
        <v>52608941.949999996</v>
      </c>
      <c r="AC10" s="8">
        <f t="shared" ref="AC10" si="57">+AB10/$AB$4</f>
        <v>0.95306054257246364</v>
      </c>
      <c r="AD10" s="2">
        <f t="shared" ref="AD10" si="58">AB10*$AD$2</f>
        <v>42887724.415760867</v>
      </c>
      <c r="AE10" s="2">
        <f>'[325]Part 11'!$V$9</f>
        <v>3600000</v>
      </c>
      <c r="AF10" s="8">
        <f t="shared" ref="AF10" si="59">+AE10/$AE$4</f>
        <v>1</v>
      </c>
      <c r="AG10" s="2">
        <f>'[325]Part 11'!$V$10</f>
        <v>1200000</v>
      </c>
      <c r="AH10" s="8">
        <f t="shared" ref="AH10" si="60">+AG10/$AG$4</f>
        <v>1</v>
      </c>
      <c r="AI10" s="8">
        <f t="shared" ref="AI10" si="61">+AB10/D10</f>
        <v>0.91638816090266573</v>
      </c>
      <c r="AJ10" s="2">
        <f>'[325]Parts 4 - 6 '!$C$31</f>
        <v>638162.35289343738</v>
      </c>
      <c r="AK10" s="4">
        <f t="shared" ref="AK10" si="62">((+D10+AJ10)-AB10)/D10</f>
        <v>9.4727904223318671E-2</v>
      </c>
      <c r="AL10" s="4">
        <f t="shared" ref="AL10" si="63">+S10/$D10</f>
        <v>0.98140379425738045</v>
      </c>
      <c r="AM10" s="4">
        <f t="shared" ref="AM10" si="64">+T10/$D10</f>
        <v>1.1375677436501858E-2</v>
      </c>
      <c r="AN10" s="4">
        <f t="shared" ref="AN10" si="65">+U10/$D10</f>
        <v>5.7940344083902097E-3</v>
      </c>
      <c r="AO10" s="4">
        <f t="shared" ref="AO10" si="66">+V10/$D10</f>
        <v>1.117409167615526E-3</v>
      </c>
      <c r="AP10" s="4">
        <f t="shared" ref="AP10" si="67">+W10/$D10</f>
        <v>0</v>
      </c>
      <c r="AQ10" s="4">
        <f t="shared" ref="AQ10" si="68">+X10/$D10</f>
        <v>3.0908473011206656E-4</v>
      </c>
      <c r="AR10" s="4">
        <f t="shared" ref="AR10" si="69">+Y10/$D10</f>
        <v>0</v>
      </c>
    </row>
    <row r="11" spans="1:44" x14ac:dyDescent="0.25">
      <c r="A11">
        <f t="shared" si="7"/>
        <v>7</v>
      </c>
      <c r="B11" s="3">
        <f t="shared" si="19"/>
        <v>43724</v>
      </c>
      <c r="C11" s="41">
        <f>'[326]Part 1'!$C$18</f>
        <v>2106</v>
      </c>
      <c r="D11" s="2">
        <f>'[326]Part 1'!$C$22</f>
        <v>56920284.039999999</v>
      </c>
      <c r="E11" s="32">
        <f>'[326]Part 1'!$E$22</f>
        <v>6.3E-2</v>
      </c>
      <c r="F11" s="8">
        <f t="shared" ref="F11" si="70">+D11/$D$4</f>
        <v>0.94867024091729713</v>
      </c>
      <c r="G11" s="2">
        <f>'[326]Parts 2 - 3'!$C$49</f>
        <v>318170.56</v>
      </c>
      <c r="H11" s="8"/>
      <c r="I11" s="8"/>
      <c r="J11" s="8"/>
      <c r="K11" s="8"/>
      <c r="L11" s="8"/>
      <c r="M11" s="8"/>
      <c r="N11" s="6">
        <f t="shared" ref="N11" si="71">G11/D10</f>
        <v>5.5421706562523119E-3</v>
      </c>
      <c r="O11" s="6">
        <f t="shared" ref="O11" si="72">1-(+N11-1)^12</f>
        <v>6.4515802621705309E-2</v>
      </c>
      <c r="P11" s="20">
        <f t="shared" si="33"/>
        <v>5.9096155260003891E-2</v>
      </c>
      <c r="Q11" s="20">
        <f t="shared" ref="Q11:Q23" si="73">AVERAGE(O6:O11)</f>
        <v>4.352902336606853E-2</v>
      </c>
      <c r="R11" s="40" t="s">
        <v>63</v>
      </c>
      <c r="S11" s="26">
        <f>'[326]Parts 7-10'!$C$4</f>
        <v>55629863.509999998</v>
      </c>
      <c r="T11" s="26">
        <f>'[326]Parts 7-10'!$E$4</f>
        <v>805104.79</v>
      </c>
      <c r="U11" s="26">
        <f>'[326]Parts 7-10'!$F$4</f>
        <v>307837.06</v>
      </c>
      <c r="V11" s="26">
        <f>'[326]Parts 7-10'!$G$4</f>
        <v>143087.28</v>
      </c>
      <c r="W11" s="26">
        <f>'[326]Parts 7-10'!$H$4</f>
        <v>16647.150000000001</v>
      </c>
      <c r="X11" s="26">
        <f>'[326]Parts 7-10'!$J$4</f>
        <v>17744.25</v>
      </c>
      <c r="Y11" s="26">
        <f>'[326]Part 11'!$D$51</f>
        <v>0</v>
      </c>
      <c r="Z11" s="26">
        <f t="shared" si="21"/>
        <v>0</v>
      </c>
      <c r="AA11" s="4">
        <f t="shared" ref="AA11" si="74">Z11/$D$4</f>
        <v>0</v>
      </c>
      <c r="AB11" s="2">
        <f>'[326]Part 11'!$V$8</f>
        <v>52120210.689999998</v>
      </c>
      <c r="AC11" s="8">
        <f t="shared" ref="AC11" si="75">+AB11/$AB$4</f>
        <v>0.94420671539855072</v>
      </c>
      <c r="AD11" s="2">
        <f t="shared" ref="AD11" si="76">AB11*$AD$2</f>
        <v>42489302.192934781</v>
      </c>
      <c r="AE11" s="2">
        <f>'[326]Part 11'!$V$9</f>
        <v>3600000</v>
      </c>
      <c r="AF11" s="8">
        <f t="shared" ref="AF11" si="77">+AE11/$AE$4</f>
        <v>1</v>
      </c>
      <c r="AG11" s="2">
        <f>'[326]Part 11'!$V$10</f>
        <v>1200000</v>
      </c>
      <c r="AH11" s="8">
        <f t="shared" ref="AH11" si="78">+AG11/$AG$4</f>
        <v>1</v>
      </c>
      <c r="AI11" s="8">
        <f t="shared" ref="AI11" si="79">+AB11/D11</f>
        <v>0.91567024952604226</v>
      </c>
      <c r="AJ11" s="2">
        <f>'[326]Parts 4 - 6 '!$C$31</f>
        <v>632293.72106156242</v>
      </c>
      <c r="AK11" s="4">
        <f t="shared" ref="AK11" si="80">((+D11+AJ11)-AB11)/D11</f>
        <v>9.5438158165971912E-2</v>
      </c>
      <c r="AL11" s="4">
        <f t="shared" ref="AL11" si="81">+S11/$D11</f>
        <v>0.9773293378316037</v>
      </c>
      <c r="AM11" s="4">
        <f t="shared" ref="AM11" si="82">+T11/$D11</f>
        <v>1.4144426781746608E-2</v>
      </c>
      <c r="AN11" s="4">
        <f t="shared" ref="AN11" si="83">+U11/$D11</f>
        <v>5.4082137008253763E-3</v>
      </c>
      <c r="AO11" s="4">
        <f t="shared" ref="AO11" si="84">+V11/$D11</f>
        <v>2.5138187978726045E-3</v>
      </c>
      <c r="AP11" s="4">
        <f t="shared" ref="AP11" si="85">+W11/$D11</f>
        <v>2.9246428194738854E-4</v>
      </c>
      <c r="AQ11" s="4">
        <f t="shared" ref="AQ11" si="86">+X11/$D11</f>
        <v>3.1173860600432803E-4</v>
      </c>
      <c r="AR11" s="4">
        <f t="shared" ref="AR11" si="87">+Y11/$D11</f>
        <v>0</v>
      </c>
    </row>
    <row r="12" spans="1:44" x14ac:dyDescent="0.25">
      <c r="A12">
        <f t="shared" si="7"/>
        <v>8</v>
      </c>
      <c r="B12" s="3">
        <f t="shared" si="19"/>
        <v>43755</v>
      </c>
      <c r="C12" s="41">
        <f>'[327]Part 1'!$C$18</f>
        <v>2098</v>
      </c>
      <c r="D12" s="2">
        <f>'[327]Part 1'!$C$22</f>
        <v>56482018.140000001</v>
      </c>
      <c r="E12" s="32">
        <f>'[327]Part 1'!$E$22</f>
        <v>6.2899999999999998E-2</v>
      </c>
      <c r="F12" s="8">
        <f t="shared" ref="F12" si="88">+D12/$D$4</f>
        <v>0.94136581818028731</v>
      </c>
      <c r="G12" s="2">
        <f>'[327]Parts 2 - 3'!$C$49</f>
        <v>272929.31</v>
      </c>
      <c r="H12" s="8"/>
      <c r="I12" s="8"/>
      <c r="J12" s="8"/>
      <c r="K12" s="8"/>
      <c r="L12" s="8"/>
      <c r="M12" s="8"/>
      <c r="N12" s="6">
        <f t="shared" ref="N12" si="89">G12/D11</f>
        <v>4.7949393542766304E-3</v>
      </c>
      <c r="O12" s="6">
        <f t="shared" ref="O12" si="90">1-(+N12-1)^12</f>
        <v>5.6045830689127718E-2</v>
      </c>
      <c r="P12" s="20">
        <f t="shared" si="33"/>
        <v>6.0528411398660054E-2</v>
      </c>
      <c r="Q12" s="20">
        <f t="shared" si="73"/>
        <v>5.1817183987630112E-2</v>
      </c>
      <c r="R12" s="40" t="s">
        <v>63</v>
      </c>
      <c r="S12" s="26">
        <f>'[327]Parts 7-10'!$C$4</f>
        <v>55312437.560000002</v>
      </c>
      <c r="T12" s="26">
        <f>'[327]Parts 7-10'!$E$4</f>
        <v>820300.88</v>
      </c>
      <c r="U12" s="26">
        <f>'[327]Parts 7-10'!$F$4</f>
        <v>183393.83</v>
      </c>
      <c r="V12" s="26">
        <f>'[327]Parts 7-10'!$G$4</f>
        <v>65005.15</v>
      </c>
      <c r="W12" s="26">
        <f>'[327]Parts 7-10'!$H$4</f>
        <v>66489.320000000007</v>
      </c>
      <c r="X12" s="26">
        <f>'[327]Parts 7-10'!$J$4</f>
        <v>16647.150000000001</v>
      </c>
      <c r="Y12" s="26">
        <v>17744.25</v>
      </c>
      <c r="Z12" s="26">
        <f t="shared" si="21"/>
        <v>17744.25</v>
      </c>
      <c r="AA12" s="4">
        <f t="shared" ref="AA12" si="91">Z12/$D$4</f>
        <v>2.957371384613482E-4</v>
      </c>
      <c r="AB12" s="2">
        <f>'[327]Part 11'!$V$8</f>
        <v>51664200.539999999</v>
      </c>
      <c r="AC12" s="8">
        <f t="shared" ref="AC12" si="92">+AB12/$AB$4</f>
        <v>0.93594566195652174</v>
      </c>
      <c r="AD12" s="2">
        <f t="shared" ref="AD12" si="93">AB12*$AD$2</f>
        <v>42117554.788043477</v>
      </c>
      <c r="AE12" s="2">
        <f>'[327]Part 11'!$V$9</f>
        <v>3600000</v>
      </c>
      <c r="AF12" s="8">
        <f t="shared" ref="AF12" si="94">+AE12/$AE$4</f>
        <v>1</v>
      </c>
      <c r="AG12" s="2">
        <f>'[327]Part 11'!$V$10</f>
        <v>1200000</v>
      </c>
      <c r="AH12" s="8">
        <f t="shared" ref="AH12" si="95">+AG12/$AG$4</f>
        <v>1</v>
      </c>
      <c r="AI12" s="8">
        <f t="shared" ref="AI12" si="96">+AB12/D12</f>
        <v>0.91470174475603461</v>
      </c>
      <c r="AJ12" s="2">
        <f>'[327]Parts 4 - 6 '!$C$31</f>
        <v>626419.78223043762</v>
      </c>
      <c r="AK12" s="4">
        <f t="shared" ref="AK12" si="97">((+D12+AJ12)-AB12)/D12</f>
        <v>9.6388860765137641E-2</v>
      </c>
      <c r="AL12" s="4">
        <f t="shared" ref="AL12" si="98">+S12/$D12</f>
        <v>0.97929286844706931</v>
      </c>
      <c r="AM12" s="4">
        <f t="shared" ref="AM12" si="99">+T12/$D12</f>
        <v>1.4523221850301965E-2</v>
      </c>
      <c r="AN12" s="4">
        <f t="shared" ref="AN12" si="100">+U12/$D12</f>
        <v>3.2469418770665758E-3</v>
      </c>
      <c r="AO12" s="4">
        <f t="shared" ref="AO12" si="101">+V12/$D12</f>
        <v>1.1508999171891134E-3</v>
      </c>
      <c r="AP12" s="4">
        <f t="shared" ref="AP12" si="102">+W12/$D12</f>
        <v>1.1771767757163926E-3</v>
      </c>
      <c r="AQ12" s="4">
        <f t="shared" ref="AQ12" si="103">+X12/$D12</f>
        <v>2.9473362581941201E-4</v>
      </c>
      <c r="AR12" s="4">
        <f t="shared" ref="AR12" si="104">+Y12/$D12</f>
        <v>3.1415750683727253E-4</v>
      </c>
    </row>
    <row r="13" spans="1:44" x14ac:dyDescent="0.25">
      <c r="A13">
        <f t="shared" si="7"/>
        <v>9</v>
      </c>
      <c r="B13" s="3">
        <f t="shared" si="19"/>
        <v>43786</v>
      </c>
      <c r="C13" s="41">
        <f>'[328]Part 1'!$C$18</f>
        <v>2090</v>
      </c>
      <c r="D13" s="2">
        <f>'[328]Part 1'!$C$22</f>
        <v>56115496.350000001</v>
      </c>
      <c r="E13" s="32">
        <f>'[328]Part 1'!$E$22</f>
        <v>6.3E-2</v>
      </c>
      <c r="F13" s="8">
        <f t="shared" ref="F13" si="105">+D13/$D$4</f>
        <v>0.93525712914815962</v>
      </c>
      <c r="G13" s="2">
        <f>'[328]Parts 2 - 3'!$C$49</f>
        <v>205584.11</v>
      </c>
      <c r="H13" s="8"/>
      <c r="I13" s="8"/>
      <c r="J13" s="8"/>
      <c r="K13" s="8"/>
      <c r="L13" s="8"/>
      <c r="M13" s="8"/>
      <c r="N13" s="6">
        <f t="shared" ref="N13" si="106">G13/D12</f>
        <v>3.6398152327069095E-3</v>
      </c>
      <c r="O13" s="6">
        <f t="shared" ref="O13" si="107">1-(+N13-1)^12</f>
        <v>4.2813920254517024E-2</v>
      </c>
      <c r="P13" s="20">
        <f t="shared" si="33"/>
        <v>5.4458517855116684E-2</v>
      </c>
      <c r="Q13" s="20">
        <f t="shared" si="73"/>
        <v>5.4572265437369503E-2</v>
      </c>
      <c r="R13" s="40" t="s">
        <v>63</v>
      </c>
      <c r="S13" s="26">
        <f>'[328]Parts 7-10'!$C$4</f>
        <v>54838807.810000002</v>
      </c>
      <c r="T13" s="26">
        <f>'[328]Parts 7-10'!$E$4</f>
        <v>897207.25</v>
      </c>
      <c r="U13" s="26">
        <f>'[328]Parts 7-10'!$F$4</f>
        <v>270961.64</v>
      </c>
      <c r="V13" s="26">
        <f>'[328]Parts 7-10'!$G$4</f>
        <v>60549.279999999999</v>
      </c>
      <c r="W13" s="26">
        <f>'[328]Parts 7-10'!$H$4</f>
        <v>30226.12</v>
      </c>
      <c r="X13" s="26">
        <f>'[328]Parts 7-10'!$J$4</f>
        <v>0</v>
      </c>
      <c r="Y13" s="26">
        <v>0</v>
      </c>
      <c r="Z13" s="26">
        <f>Z12+Y13</f>
        <v>17744.25</v>
      </c>
      <c r="AA13" s="4">
        <f t="shared" ref="AA13" si="108">Z13/$D$4</f>
        <v>2.957371384613482E-4</v>
      </c>
      <c r="AB13" s="2">
        <f>'[328]Part 11'!$V$8</f>
        <v>51279743.789999999</v>
      </c>
      <c r="AC13" s="8">
        <f t="shared" ref="AC13" si="109">+AB13/$AB$4</f>
        <v>0.92898086576086958</v>
      </c>
      <c r="AD13" s="2">
        <f t="shared" ref="AD13" si="110">AB13*$AD$2</f>
        <v>41804138.959239125</v>
      </c>
      <c r="AE13" s="2">
        <f>'[328]Part 11'!$V$9</f>
        <v>3600000</v>
      </c>
      <c r="AF13" s="8">
        <f t="shared" ref="AF13" si="111">+AE13/$AE$4</f>
        <v>1</v>
      </c>
      <c r="AG13" s="2">
        <f>'[328]Part 11'!$V$10</f>
        <v>1200000</v>
      </c>
      <c r="AH13" s="8">
        <f t="shared" ref="AH13" si="112">+AG13/$AG$4</f>
        <v>1</v>
      </c>
      <c r="AI13" s="8">
        <f t="shared" ref="AI13" si="113">+AB13/D13</f>
        <v>0.91382500602260108</v>
      </c>
      <c r="AJ13" s="2">
        <f>'[328]Parts 4 - 6 '!$C$31</f>
        <v>620939.1102401251</v>
      </c>
      <c r="AK13" s="4">
        <f t="shared" ref="AK13" si="114">((+D13+AJ13)-AB13)/D13</f>
        <v>9.7240370756163264E-2</v>
      </c>
      <c r="AL13" s="4">
        <f t="shared" ref="AL13" si="115">+S13/$D13</f>
        <v>0.97724891299121519</v>
      </c>
      <c r="AM13" s="4">
        <f t="shared" ref="AM13" si="116">+T13/$D13</f>
        <v>1.5988582626160805E-2</v>
      </c>
      <c r="AN13" s="4">
        <f t="shared" ref="AN13" si="117">+U13/$D13</f>
        <v>4.8286419549775578E-3</v>
      </c>
      <c r="AO13" s="4">
        <f t="shared" ref="AO13" si="118">+V13/$D13</f>
        <v>1.0790117514482254E-3</v>
      </c>
      <c r="AP13" s="4">
        <f t="shared" ref="AP13" si="119">+W13/$D13</f>
        <v>5.3864123042725255E-4</v>
      </c>
      <c r="AQ13" s="4">
        <f t="shared" ref="AQ13" si="120">+X13/$D13</f>
        <v>0</v>
      </c>
      <c r="AR13" s="4">
        <f t="shared" ref="AR13" si="121">+Y13/$D13</f>
        <v>0</v>
      </c>
    </row>
    <row r="14" spans="1:44" x14ac:dyDescent="0.25">
      <c r="A14">
        <f t="shared" si="7"/>
        <v>10</v>
      </c>
      <c r="B14" s="3">
        <f t="shared" si="19"/>
        <v>43817</v>
      </c>
      <c r="C14" s="41">
        <f>'[329]Part 1'!$C$18</f>
        <v>2083</v>
      </c>
      <c r="D14" s="2">
        <f>'[329]Part 1'!$C$22</f>
        <v>55768911.189999998</v>
      </c>
      <c r="E14" s="32">
        <f>'[329]Part 1'!$E$22</f>
        <v>6.3E-2</v>
      </c>
      <c r="F14" s="8">
        <f t="shared" ref="F14" si="122">+D14/$D$4</f>
        <v>0.92948071687649025</v>
      </c>
      <c r="G14" s="2">
        <f>'[329]Parts 2 - 3'!$C$49</f>
        <v>171373.59</v>
      </c>
      <c r="H14" s="8"/>
      <c r="I14" s="8"/>
      <c r="J14" s="8"/>
      <c r="K14" s="8"/>
      <c r="L14" s="8"/>
      <c r="M14" s="8"/>
      <c r="N14" s="6">
        <f t="shared" ref="N14" si="123">G14/D13</f>
        <v>3.0539441178800159E-3</v>
      </c>
      <c r="O14" s="6">
        <f t="shared" ref="O14" si="124">1-(+N14-1)^12</f>
        <v>3.6037998862405551E-2</v>
      </c>
      <c r="P14" s="20">
        <f t="shared" si="33"/>
        <v>4.4965916602016764E-2</v>
      </c>
      <c r="Q14" s="20">
        <f t="shared" si="73"/>
        <v>5.2031035931010328E-2</v>
      </c>
      <c r="R14" s="40" t="s">
        <v>63</v>
      </c>
      <c r="S14" s="26">
        <f>'[329]Parts 7-10'!$C$4</f>
        <v>54367557.359999999</v>
      </c>
      <c r="T14" s="26">
        <f>'[329]Parts 7-10'!$E$4</f>
        <v>976691.24</v>
      </c>
      <c r="U14" s="26">
        <f>'[329]Parts 7-10'!$F$4</f>
        <v>365203.28</v>
      </c>
      <c r="V14" s="26">
        <f>'[329]Parts 7-10'!$G$4</f>
        <v>41715.06</v>
      </c>
      <c r="W14" s="26">
        <f>'[329]Parts 7-10'!$H$4</f>
        <v>0</v>
      </c>
      <c r="X14" s="26">
        <f>'[329]Parts 7-10'!$J$4</f>
        <v>0</v>
      </c>
      <c r="Y14" s="26">
        <v>0</v>
      </c>
      <c r="Z14" s="26">
        <f t="shared" ref="Z14" si="125">Z13+Y14</f>
        <v>17744.25</v>
      </c>
      <c r="AA14" s="4">
        <f t="shared" ref="AA14" si="126">Z14/$D$4</f>
        <v>2.957371384613482E-4</v>
      </c>
      <c r="AB14" s="2">
        <f>'[329]Part 11'!$V$8</f>
        <v>50915336.140000001</v>
      </c>
      <c r="AC14" s="8">
        <f t="shared" ref="AC14" si="127">+AB14/$AB$4</f>
        <v>0.92237927789855079</v>
      </c>
      <c r="AD14" s="2">
        <f t="shared" ref="AD14" si="128">AB14*$AD$2</f>
        <v>41507067.505434781</v>
      </c>
      <c r="AE14" s="2">
        <f>'[329]Part 11'!$V$9</f>
        <v>3600000</v>
      </c>
      <c r="AF14" s="8">
        <f t="shared" ref="AF14" si="129">+AE14/$AE$4</f>
        <v>1</v>
      </c>
      <c r="AG14" s="2">
        <f>'[329]Part 11'!$V$10</f>
        <v>1200000</v>
      </c>
      <c r="AH14" s="8">
        <f t="shared" ref="AH14" si="130">+AG14/$AG$4</f>
        <v>1</v>
      </c>
      <c r="AI14" s="8">
        <f t="shared" ref="AI14" si="131">+AB14/D14</f>
        <v>0.91296987969759213</v>
      </c>
      <c r="AJ14" s="2">
        <f>'[329]Parts 4 - 6 '!$C$31</f>
        <v>616318.42067606247</v>
      </c>
      <c r="AK14" s="4">
        <f t="shared" ref="AK14" si="132">((+D14+AJ14)-AB14)/D14</f>
        <v>9.8081410484070403E-2</v>
      </c>
      <c r="AL14" s="4">
        <f t="shared" ref="AL14" si="133">+S14/$D14</f>
        <v>0.97487213215933688</v>
      </c>
      <c r="AM14" s="4">
        <f t="shared" ref="AM14" si="134">+T14/$D14</f>
        <v>1.7513184660760097E-2</v>
      </c>
      <c r="AN14" s="4">
        <f t="shared" ref="AN14" si="135">+U14/$D14</f>
        <v>6.5485101323886907E-3</v>
      </c>
      <c r="AO14" s="4">
        <f t="shared" ref="AO14" si="136">+V14/$D14</f>
        <v>7.4799846563043508E-4</v>
      </c>
      <c r="AP14" s="4">
        <f t="shared" ref="AP14" si="137">+W14/$D14</f>
        <v>0</v>
      </c>
      <c r="AQ14" s="4">
        <f t="shared" ref="AQ14" si="138">+X14/$D14</f>
        <v>0</v>
      </c>
      <c r="AR14" s="4">
        <f t="shared" ref="AR14" si="139">+Y14/$D14</f>
        <v>0</v>
      </c>
    </row>
    <row r="15" spans="1:44" x14ac:dyDescent="0.25">
      <c r="A15">
        <f t="shared" si="7"/>
        <v>11</v>
      </c>
      <c r="B15" s="3">
        <f t="shared" si="19"/>
        <v>43848</v>
      </c>
      <c r="C15" s="41">
        <f>'[330]Part 1'!$C$18</f>
        <v>2073</v>
      </c>
      <c r="D15" s="2">
        <f>'[330]Part 1'!$C$22</f>
        <v>55360430.609999999</v>
      </c>
      <c r="E15" s="32">
        <f>'[330]Part 1'!$E$22</f>
        <v>6.3E-2</v>
      </c>
      <c r="F15" s="8">
        <f t="shared" ref="F15" si="140">+D15/$D$4</f>
        <v>0.92267271553260521</v>
      </c>
      <c r="G15" s="2">
        <f>'[330]Parts 2 - 3'!$C$49</f>
        <v>180632.49</v>
      </c>
      <c r="H15" s="8"/>
      <c r="I15" s="8"/>
      <c r="J15" s="8"/>
      <c r="K15" s="8"/>
      <c r="L15" s="8"/>
      <c r="M15" s="8"/>
      <c r="N15" s="6">
        <f t="shared" ref="N15" si="141">G15/D14</f>
        <v>3.2389459673078476E-3</v>
      </c>
      <c r="O15" s="6">
        <f t="shared" ref="O15" si="142">1-(+N15-1)^12</f>
        <v>3.8182381915350949E-2</v>
      </c>
      <c r="P15" s="20">
        <f t="shared" si="33"/>
        <v>3.901143367742451E-2</v>
      </c>
      <c r="Q15" s="20">
        <f t="shared" si="73"/>
        <v>4.9769922538042279E-2</v>
      </c>
      <c r="R15" s="40" t="s">
        <v>63</v>
      </c>
      <c r="S15" s="26">
        <f>'[330]Parts 7-10'!$C$4</f>
        <v>54047821.159999996</v>
      </c>
      <c r="T15" s="26">
        <f>'[330]Parts 7-10'!$E$4</f>
        <v>882523.13</v>
      </c>
      <c r="U15" s="26">
        <f>'[330]Parts 7-10'!$F$4</f>
        <v>367880.9</v>
      </c>
      <c r="V15" s="26">
        <f>'[330]Parts 7-10'!$G$4</f>
        <v>44461.17</v>
      </c>
      <c r="W15" s="26">
        <f>'[330]Parts 7-10'!$H$4</f>
        <v>0</v>
      </c>
      <c r="X15" s="26">
        <f>'[330]Parts 7-10'!$J$4</f>
        <v>0</v>
      </c>
      <c r="Y15" s="26">
        <f>'[330]Part 11'!$D$51</f>
        <v>0</v>
      </c>
      <c r="Z15" s="26">
        <f t="shared" ref="Z15" si="143">Z14+Y15</f>
        <v>17744.25</v>
      </c>
      <c r="AA15" s="4">
        <f t="shared" ref="AA15" si="144">Z15/$D$4</f>
        <v>2.957371384613482E-4</v>
      </c>
      <c r="AB15" s="2">
        <f>'[330]Part 11'!$V$8</f>
        <v>50506751.619999997</v>
      </c>
      <c r="AC15" s="8">
        <f t="shared" ref="AC15" si="145">+AB15/$AB$4</f>
        <v>0.91497738442028975</v>
      </c>
      <c r="AD15" s="2">
        <f t="shared" ref="AD15" si="146">AB15*$AD$2</f>
        <v>41173982.298913039</v>
      </c>
      <c r="AE15" s="2">
        <f>'[330]Part 11'!$V$9</f>
        <v>3600000</v>
      </c>
      <c r="AF15" s="8">
        <f t="shared" ref="AF15" si="147">+AE15/$AE$4</f>
        <v>1</v>
      </c>
      <c r="AG15" s="2">
        <f>'[330]Part 11'!$V$10</f>
        <v>1200000</v>
      </c>
      <c r="AH15" s="8">
        <f t="shared" ref="AH15" si="148">+AG15/$AG$4</f>
        <v>1</v>
      </c>
      <c r="AI15" s="8">
        <f t="shared" ref="AI15" si="149">+AB15/D15</f>
        <v>0.91232584471401745</v>
      </c>
      <c r="AJ15" s="2">
        <f>'[330]Parts 4 - 6 '!$C$31</f>
        <v>611938.69623262517</v>
      </c>
      <c r="AK15" s="4">
        <f t="shared" ref="AK15" si="150">((+D15+AJ15)-AB15)/D15</f>
        <v>9.8727875235228899E-2</v>
      </c>
      <c r="AL15" s="4">
        <f t="shared" ref="AL15" si="151">+S15/$D15</f>
        <v>0.97628975361035397</v>
      </c>
      <c r="AM15" s="4">
        <f t="shared" ref="AM15" si="152">+T15/$D15</f>
        <v>1.5941406529460519E-2</v>
      </c>
      <c r="AN15" s="4">
        <f t="shared" ref="AN15" si="153">+U15/$D15</f>
        <v>6.6451957823743532E-3</v>
      </c>
      <c r="AO15" s="4">
        <f t="shared" ref="AO15" si="154">+V15/$D15</f>
        <v>8.0312182383871812E-4</v>
      </c>
      <c r="AP15" s="4">
        <f t="shared" ref="AP15" si="155">+W15/$D15</f>
        <v>0</v>
      </c>
      <c r="AQ15" s="4">
        <f t="shared" ref="AQ15" si="156">+X15/$D15</f>
        <v>0</v>
      </c>
      <c r="AR15" s="4">
        <f t="shared" ref="AR15" si="157">+Y15/$D15</f>
        <v>0</v>
      </c>
    </row>
    <row r="16" spans="1:44" x14ac:dyDescent="0.25">
      <c r="A16">
        <f t="shared" si="7"/>
        <v>12</v>
      </c>
      <c r="B16" s="3">
        <f t="shared" si="19"/>
        <v>43879</v>
      </c>
      <c r="C16" s="41">
        <f>'[331]Part 1'!$C$18</f>
        <v>2059</v>
      </c>
      <c r="D16" s="2">
        <f>'[331]Part 1'!$C$22</f>
        <v>54796872.740000002</v>
      </c>
      <c r="E16" s="32">
        <f>'[331]Part 1'!$E$22</f>
        <v>6.2899999999999998E-2</v>
      </c>
      <c r="F16" s="8">
        <f t="shared" ref="F16" si="158">+D16/$D$4</f>
        <v>0.91328009584841618</v>
      </c>
      <c r="G16" s="2">
        <f>'[331]Parts 2 - 3'!$C$49</f>
        <v>377303.24</v>
      </c>
      <c r="H16" s="8"/>
      <c r="I16" s="8"/>
      <c r="J16" s="8"/>
      <c r="K16" s="8"/>
      <c r="L16" s="8"/>
      <c r="M16" s="8"/>
      <c r="N16" s="6">
        <f t="shared" ref="N16" si="159">G16/D15</f>
        <v>6.8153956868219527E-3</v>
      </c>
      <c r="O16" s="6">
        <f t="shared" ref="O16" si="160">1-(+N16-1)^12</f>
        <v>7.8787662944238557E-2</v>
      </c>
      <c r="P16" s="20">
        <f t="shared" si="33"/>
        <v>5.1002681240665017E-2</v>
      </c>
      <c r="Q16" s="20">
        <f t="shared" si="73"/>
        <v>5.2730599547890854E-2</v>
      </c>
      <c r="R16" s="17">
        <f t="shared" ref="R16:R23" si="161">AVERAGE(O5:O16)</f>
        <v>4.5304689941122377E-2</v>
      </c>
      <c r="S16" s="26">
        <f>'[331]Parts 7-10'!$C$4</f>
        <v>53434100.819999993</v>
      </c>
      <c r="T16" s="26">
        <f>'[331]Parts 7-10'!$E$4</f>
        <v>801545.44</v>
      </c>
      <c r="U16" s="26">
        <f>'[331]Parts 7-10'!$F$4</f>
        <v>456600.13</v>
      </c>
      <c r="V16" s="26">
        <f>'[331]Parts 7-10'!$G$4</f>
        <v>82906.53</v>
      </c>
      <c r="W16" s="26">
        <f>'[331]Parts 7-10'!$H$4</f>
        <v>3975.57</v>
      </c>
      <c r="X16" s="26">
        <f>'[331]Parts 7-10'!$J$4</f>
        <v>0</v>
      </c>
      <c r="Y16" s="26">
        <f>'[331]Part 11'!$D$51</f>
        <v>0</v>
      </c>
      <c r="Z16" s="26">
        <f t="shared" ref="Z16" si="162">Z15+Y16</f>
        <v>17744.25</v>
      </c>
      <c r="AA16" s="4">
        <f t="shared" ref="AA16" si="163">Z16/$D$4</f>
        <v>2.957371384613482E-4</v>
      </c>
      <c r="AB16" s="2">
        <f>'[331]Part 11'!$V$8</f>
        <v>49917214.200000003</v>
      </c>
      <c r="AC16" s="8">
        <f t="shared" ref="AC16" si="164">+AB16/$AB$4</f>
        <v>0.9042973586956522</v>
      </c>
      <c r="AD16" s="2">
        <f t="shared" ref="AD16" si="165">AB16*$AD$2</f>
        <v>40693381.141304351</v>
      </c>
      <c r="AE16" s="2">
        <f>'[331]Part 11'!$V$9</f>
        <v>3600000</v>
      </c>
      <c r="AF16" s="8">
        <f t="shared" ref="AF16" si="166">+AE16/$AE$4</f>
        <v>1</v>
      </c>
      <c r="AG16" s="2">
        <f>'[331]Part 11'!$V$10</f>
        <v>1200000</v>
      </c>
      <c r="AH16" s="8">
        <f t="shared" ref="AH16" si="167">+AG16/$AG$4</f>
        <v>1</v>
      </c>
      <c r="AI16" s="8">
        <f t="shared" ref="AI16" si="168">+AB16/D16</f>
        <v>0.91095005433698772</v>
      </c>
      <c r="AJ16" s="2">
        <f>'[331]Parts 4 - 6 '!$C$31</f>
        <v>599942.51816625008</v>
      </c>
      <c r="AK16" s="4">
        <f t="shared" ref="AK16" si="169">((+D16+AJ16)-AB16)/D16</f>
        <v>9.9998426628574985E-2</v>
      </c>
      <c r="AL16" s="4">
        <f t="shared" ref="AL16" si="170">+S16/$D16</f>
        <v>0.97513048004644198</v>
      </c>
      <c r="AM16" s="4">
        <f t="shared" ref="AM16" si="171">+T16/$D16</f>
        <v>1.4627576354642896E-2</v>
      </c>
      <c r="AN16" s="4">
        <f t="shared" ref="AN16" si="172">+U16/$D16</f>
        <v>8.3325946750004258E-3</v>
      </c>
      <c r="AO16" s="4">
        <f t="shared" ref="AO16" si="173">+V16/$D16</f>
        <v>1.5129792240767934E-3</v>
      </c>
      <c r="AP16" s="4">
        <f t="shared" ref="AP16" si="174">+W16/$D16</f>
        <v>7.2551038064950718E-5</v>
      </c>
      <c r="AQ16" s="4">
        <f t="shared" ref="AQ16" si="175">+X16/$D16</f>
        <v>0</v>
      </c>
      <c r="AR16" s="4">
        <f t="shared" ref="AR16" si="176">+Y16/$D16</f>
        <v>0</v>
      </c>
    </row>
    <row r="17" spans="1:44" ht="14.1" customHeight="1" x14ac:dyDescent="0.25">
      <c r="A17">
        <f t="shared" si="7"/>
        <v>13</v>
      </c>
      <c r="B17" s="3">
        <f t="shared" si="19"/>
        <v>43910</v>
      </c>
      <c r="C17" s="41">
        <f>'[332]Part 1'!$C$18</f>
        <v>2051</v>
      </c>
      <c r="D17" s="2">
        <f>'[332]Part 1'!$C$22</f>
        <v>54232634.109999999</v>
      </c>
      <c r="E17" s="32">
        <f>'[332]Part 1'!$E$22</f>
        <v>6.3E-2</v>
      </c>
      <c r="F17" s="8">
        <f t="shared" ref="F17" si="177">+D17/$D$4</f>
        <v>0.90387613017809754</v>
      </c>
      <c r="G17" s="2">
        <f>'[332]Parts 2 - 3'!$C$49</f>
        <v>245863.47</v>
      </c>
      <c r="H17" s="8"/>
      <c r="I17" s="8"/>
      <c r="J17" s="8"/>
      <c r="K17" s="8"/>
      <c r="L17" s="8"/>
      <c r="M17" s="8"/>
      <c r="N17" s="6">
        <f t="shared" ref="N17" si="178">G17/D16</f>
        <v>4.4868157196957586E-3</v>
      </c>
      <c r="O17" s="6">
        <f t="shared" ref="O17" si="179">1-(+N17-1)^12</f>
        <v>5.2532781254337912E-2</v>
      </c>
      <c r="P17" s="20">
        <f t="shared" si="33"/>
        <v>5.6500942037975808E-2</v>
      </c>
      <c r="Q17" s="20">
        <f t="shared" si="73"/>
        <v>5.0733429319996283E-2</v>
      </c>
      <c r="R17" s="17">
        <f t="shared" si="161"/>
        <v>4.7131226343032406E-2</v>
      </c>
      <c r="S17" s="26">
        <f>'[332]Parts 7-10'!$C$4</f>
        <v>52735117.950000003</v>
      </c>
      <c r="T17" s="26">
        <f>'[332]Parts 7-10'!$E$4</f>
        <v>1110821.8899999999</v>
      </c>
      <c r="U17" s="26">
        <f>'[332]Parts 7-10'!$F$4</f>
        <v>352575.45</v>
      </c>
      <c r="V17" s="26">
        <f>'[332]Parts 7-10'!$G$4</f>
        <v>154679.57999999999</v>
      </c>
      <c r="W17" s="26">
        <f>'[332]Parts 7-10'!$H$4</f>
        <v>0</v>
      </c>
      <c r="X17" s="26">
        <f>'[332]Parts 7-10'!$J$4</f>
        <v>0</v>
      </c>
      <c r="Y17" s="26">
        <f>'[333]Parts 2 - 3'!$C$18</f>
        <v>0</v>
      </c>
      <c r="Z17" s="26">
        <f t="shared" ref="Z17" si="180">Z16+Y17</f>
        <v>17744.25</v>
      </c>
      <c r="AA17" s="4">
        <f t="shared" ref="AA17" si="181">Z17/$D$4</f>
        <v>2.957371384613482E-4</v>
      </c>
      <c r="AB17" s="2">
        <f>'[332]Part 11'!$V$8</f>
        <v>49334964.870000012</v>
      </c>
      <c r="AC17" s="8">
        <f t="shared" ref="AC17" si="182">+AB17/$AB$4</f>
        <v>0.89374936358695678</v>
      </c>
      <c r="AD17" s="2">
        <f t="shared" ref="AD17" si="183">AB17*$AD$2</f>
        <v>40218721.361413054</v>
      </c>
      <c r="AE17" s="2">
        <f>'[332]Part 11'!$V$9</f>
        <v>3600000</v>
      </c>
      <c r="AF17" s="8">
        <f t="shared" ref="AF17" si="184">+AE17/$AE$4</f>
        <v>1</v>
      </c>
      <c r="AG17" s="2">
        <f>'[332]Part 11'!$V$10</f>
        <v>1200000</v>
      </c>
      <c r="AH17" s="8">
        <f t="shared" ref="AH17" si="185">+AG17/$AG$4</f>
        <v>1</v>
      </c>
      <c r="AI17" s="8">
        <f t="shared" ref="AI17" si="186">+AB17/D17</f>
        <v>0.90969147413961027</v>
      </c>
      <c r="AJ17" s="2">
        <f>'[332]Parts 4 - 6 '!$C$31</f>
        <v>599942.51816625008</v>
      </c>
      <c r="AK17" s="4">
        <f t="shared" ref="AK17" si="187">((+D17+AJ17)-AB17)/D17</f>
        <v>0.10137091528719476</v>
      </c>
      <c r="AL17" s="4">
        <f t="shared" ref="AL17" si="188">+S17/$D17</f>
        <v>0.97238717638234973</v>
      </c>
      <c r="AM17" s="4">
        <f t="shared" ref="AM17" si="189">+T17/$D17</f>
        <v>2.0482536174564581E-2</v>
      </c>
      <c r="AN17" s="4">
        <f t="shared" ref="AN17" si="190">+U17/$D17</f>
        <v>6.5011677154547124E-3</v>
      </c>
      <c r="AO17" s="4">
        <f t="shared" ref="AO17" si="191">+V17/$D17</f>
        <v>2.8521494951962603E-3</v>
      </c>
      <c r="AP17" s="4">
        <f t="shared" ref="AP17" si="192">+W17/$D17</f>
        <v>0</v>
      </c>
      <c r="AQ17" s="4">
        <f t="shared" ref="AQ17" si="193">+X17/$D17</f>
        <v>0</v>
      </c>
      <c r="AR17" s="4">
        <f t="shared" ref="AR17" si="194">+Y17/$D17</f>
        <v>0</v>
      </c>
    </row>
    <row r="18" spans="1:44" x14ac:dyDescent="0.25">
      <c r="A18">
        <f t="shared" si="7"/>
        <v>14</v>
      </c>
      <c r="B18" s="3">
        <f t="shared" si="19"/>
        <v>43941</v>
      </c>
      <c r="C18" s="41">
        <f>'[334]Part 1'!$C$18</f>
        <v>2048</v>
      </c>
      <c r="D18" s="2">
        <f>'[334]Part 1'!$C$22</f>
        <v>54159549.469999999</v>
      </c>
      <c r="E18" s="32">
        <f>'[334]Part 1'!$E$22</f>
        <v>6.3E-2</v>
      </c>
      <c r="F18" s="8">
        <f t="shared" ref="F18" si="195">+D18/$D$4</f>
        <v>0.90265805433386181</v>
      </c>
      <c r="G18" s="2">
        <f>'[334]Parts 2 - 3'!$C$49</f>
        <v>245863.47</v>
      </c>
      <c r="H18" s="8"/>
      <c r="I18" s="8"/>
      <c r="J18" s="8"/>
      <c r="K18" s="8"/>
      <c r="L18" s="8"/>
      <c r="M18" s="8"/>
      <c r="N18" s="6">
        <f t="shared" ref="N18" si="196">G18/D17</f>
        <v>4.5334967411192932E-3</v>
      </c>
      <c r="O18" s="6">
        <f t="shared" ref="O18" si="197">1-(+N18-1)^12</f>
        <v>5.3065780715957467E-2</v>
      </c>
      <c r="P18" s="20">
        <f t="shared" si="33"/>
        <v>6.1462074971511314E-2</v>
      </c>
      <c r="Q18" s="20">
        <f t="shared" si="73"/>
        <v>5.0236754324467912E-2</v>
      </c>
      <c r="R18" s="17">
        <f t="shared" si="161"/>
        <v>5.1026969156049012E-2</v>
      </c>
      <c r="S18" s="26">
        <f>'[334]Parts 7-10'!$C$4</f>
        <v>52878895.400000006</v>
      </c>
      <c r="T18" s="26">
        <f>'[334]Parts 7-10'!$E$4</f>
        <v>830070.89</v>
      </c>
      <c r="U18" s="26">
        <f>'[334]Parts 7-10'!$F$4</f>
        <v>351551.99</v>
      </c>
      <c r="V18" s="26">
        <f>'[334]Parts 7-10'!$G$4</f>
        <v>81286.94</v>
      </c>
      <c r="W18" s="26">
        <f>'[334]Parts 7-10'!$H$4</f>
        <v>0</v>
      </c>
      <c r="X18" s="26">
        <f>'[334]Parts 7-10'!$J$4</f>
        <v>0</v>
      </c>
      <c r="Y18" s="26">
        <f>'[335]Parts 2 - 3'!$C$18</f>
        <v>0</v>
      </c>
      <c r="Z18" s="26">
        <f t="shared" ref="Z18" si="198">Z17+Y18</f>
        <v>17744.25</v>
      </c>
      <c r="AA18" s="4">
        <f t="shared" ref="AA18" si="199">Z18/$D$4</f>
        <v>2.957371384613482E-4</v>
      </c>
      <c r="AB18" s="2">
        <f>'[334]Part 11'!$V$8</f>
        <v>49216636.920000009</v>
      </c>
      <c r="AC18" s="8">
        <f t="shared" ref="AC18" si="200">+AB18/$AB$4</f>
        <v>0.891605741304348</v>
      </c>
      <c r="AD18" s="2">
        <f t="shared" ref="AD18" si="201">AB18*$AD$2</f>
        <v>40122258.358695656</v>
      </c>
      <c r="AE18" s="2">
        <f>'[334]Part 11'!$V$9</f>
        <v>3600000</v>
      </c>
      <c r="AF18" s="8">
        <f t="shared" ref="AF18" si="202">+AE18/$AE$4</f>
        <v>1</v>
      </c>
      <c r="AG18" s="2">
        <f>'[334]Part 11'!$V$10</f>
        <v>1200000</v>
      </c>
      <c r="AH18" s="8">
        <f t="shared" ref="AH18" si="203">+AG18/$AG$4</f>
        <v>1</v>
      </c>
      <c r="AI18" s="8">
        <f t="shared" ref="AI18" si="204">+AB18/D18</f>
        <v>0.9087342380361203</v>
      </c>
      <c r="AJ18" s="2">
        <f>'[334]Parts 4 - 6 '!$C$45</f>
        <v>594715.09542056278</v>
      </c>
      <c r="AK18" s="4">
        <f t="shared" ref="AK18" si="205">((+D18+AJ18)-AB18)/D18</f>
        <v>0.1022465603870643</v>
      </c>
      <c r="AL18" s="4">
        <f t="shared" ref="AL18" si="206">+S18/$D18</f>
        <v>0.97635404868518394</v>
      </c>
      <c r="AM18" s="4">
        <f t="shared" ref="AM18" si="207">+T18/$D18</f>
        <v>1.5326399464600274E-2</v>
      </c>
      <c r="AN18" s="4">
        <f t="shared" ref="AN18" si="208">+U18/$D18</f>
        <v>6.4910434713776801E-3</v>
      </c>
      <c r="AO18" s="4">
        <f t="shared" ref="AO18" si="209">+V18/$D18</f>
        <v>1.5008791763496182E-3</v>
      </c>
      <c r="AP18" s="4">
        <f t="shared" ref="AP18" si="210">+W18/$D18</f>
        <v>0</v>
      </c>
      <c r="AQ18" s="4">
        <f t="shared" ref="AQ18" si="211">+X18/$D18</f>
        <v>0</v>
      </c>
      <c r="AR18" s="4">
        <f t="shared" ref="AR18" si="212">+Y18/$D18</f>
        <v>0</v>
      </c>
    </row>
    <row r="19" spans="1:44" x14ac:dyDescent="0.25">
      <c r="A19">
        <f t="shared" si="7"/>
        <v>15</v>
      </c>
      <c r="B19" s="3">
        <f t="shared" si="19"/>
        <v>43972</v>
      </c>
      <c r="C19" s="41">
        <f>'[336]Part 1'!$C$18</f>
        <v>2047</v>
      </c>
      <c r="D19" s="2">
        <f>'[336]Part 1'!$C$22</f>
        <v>54012391.390000001</v>
      </c>
      <c r="E19" s="32">
        <f>'[336]Part 1'!$E$22</f>
        <v>6.3E-2</v>
      </c>
      <c r="F19" s="8">
        <f t="shared" ref="F19" si="213">+D19/$D$4</f>
        <v>0.90020542266553749</v>
      </c>
      <c r="G19" s="2">
        <f>'[336]Parts 2 - 3'!$C$49</f>
        <v>12442.51</v>
      </c>
      <c r="H19" s="8"/>
      <c r="I19" s="8"/>
      <c r="J19" s="8"/>
      <c r="K19" s="8"/>
      <c r="L19" s="8"/>
      <c r="M19" s="8"/>
      <c r="N19" s="6">
        <f t="shared" ref="N19" si="214">G19/D18</f>
        <v>2.2973806321805064E-4</v>
      </c>
      <c r="O19" s="6">
        <f t="shared" ref="O19" si="215">1-(+N19-1)^12</f>
        <v>2.7533759727152995E-3</v>
      </c>
      <c r="P19" s="20">
        <f t="shared" si="33"/>
        <v>3.6117312647670229E-2</v>
      </c>
      <c r="Q19" s="20">
        <f t="shared" si="73"/>
        <v>4.3559996944167623E-2</v>
      </c>
      <c r="R19" s="17">
        <f t="shared" si="161"/>
        <v>4.906613119076856E-2</v>
      </c>
      <c r="S19" s="26">
        <f>'[336]Parts 6 -9'!$C$4</f>
        <v>52786108.530000001</v>
      </c>
      <c r="T19" s="26">
        <f>'[336]Parts 6 -9'!$E$4</f>
        <v>776177.47</v>
      </c>
      <c r="U19" s="26">
        <f>'[336]Parts 6 -9'!$F$4</f>
        <v>302337.34000000003</v>
      </c>
      <c r="V19" s="26">
        <f>'[336]Parts 6 -9'!$G$4</f>
        <v>52712.43</v>
      </c>
      <c r="W19" s="26">
        <f>'[336]Parts 6 -9'!$H$4</f>
        <v>77311.37</v>
      </c>
      <c r="X19" s="26">
        <f>'[336]Parts 6 -9'!$J$4</f>
        <v>0</v>
      </c>
      <c r="Y19" s="26">
        <f>'[337]Parts 2 - 3'!$C$18</f>
        <v>0</v>
      </c>
      <c r="Z19" s="26">
        <f t="shared" ref="Z19" si="216">Z18+Y19</f>
        <v>17744.25</v>
      </c>
      <c r="AA19" s="4">
        <f t="shared" ref="AA19" si="217">Z19/$D$4</f>
        <v>2.957371384613482E-4</v>
      </c>
      <c r="AB19" s="2">
        <f>'[336]Part 11'!$V$8</f>
        <v>49002657.26000002</v>
      </c>
      <c r="AC19" s="8">
        <f t="shared" ref="AC19" si="218">+AB19/$AB$4</f>
        <v>0.88772929818840618</v>
      </c>
      <c r="AD19" s="2">
        <f t="shared" ref="AD19" si="219">AB19*$AD$2</f>
        <v>39947818.418478273</v>
      </c>
      <c r="AE19" s="2">
        <f>'[336]Part 11'!$V$9</f>
        <v>3600000</v>
      </c>
      <c r="AF19" s="8">
        <f t="shared" ref="AF19" si="220">+AE19/$AE$4</f>
        <v>1</v>
      </c>
      <c r="AG19" s="2">
        <f>'[336]Part 11'!$V$10</f>
        <v>1200000</v>
      </c>
      <c r="AH19" s="8">
        <f t="shared" ref="AH19" si="221">+AG19/$AG$4</f>
        <v>1</v>
      </c>
      <c r="AI19" s="8">
        <f t="shared" ref="AI19" si="222">+AB19/D19</f>
        <v>0.90724842946080897</v>
      </c>
      <c r="AJ19" s="2">
        <f>'[336]Parts 4 - 5 '!$C$45</f>
        <v>591522.45498225023</v>
      </c>
      <c r="AK19" s="4">
        <f t="shared" ref="AK19" si="223">((+D19+AJ19)-AB19)/D19</f>
        <v>0.10370317700873476</v>
      </c>
      <c r="AL19" s="4">
        <f t="shared" ref="AL19" si="224">+S19/$D19</f>
        <v>0.97729626797773972</v>
      </c>
      <c r="AM19" s="4">
        <f t="shared" ref="AM19" si="225">+T19/$D19</f>
        <v>1.4370359282846039E-2</v>
      </c>
      <c r="AN19" s="4">
        <f t="shared" ref="AN19" si="226">+U19/$D19</f>
        <v>5.597555157611029E-3</v>
      </c>
      <c r="AO19" s="4">
        <f t="shared" ref="AO19" si="227">+V19/$D19</f>
        <v>9.7593216377676103E-4</v>
      </c>
      <c r="AP19" s="4">
        <f t="shared" ref="AP19" si="228">+W19/$D19</f>
        <v>1.4313635817708606E-3</v>
      </c>
      <c r="AQ19" s="4">
        <f t="shared" ref="AQ19" si="229">+X19/$D19</f>
        <v>0</v>
      </c>
      <c r="AR19" s="4">
        <f t="shared" ref="AR19" si="230">+Y19/$D19</f>
        <v>0</v>
      </c>
    </row>
    <row r="20" spans="1:44" x14ac:dyDescent="0.25">
      <c r="A20">
        <f t="shared" si="7"/>
        <v>16</v>
      </c>
      <c r="B20" s="3">
        <f t="shared" si="19"/>
        <v>44003</v>
      </c>
      <c r="C20" s="41">
        <f>'[338]Part 1'!$C$18</f>
        <v>2047</v>
      </c>
      <c r="D20" s="2">
        <f>'[338]Part 1'!$C$22</f>
        <v>53835008.210000001</v>
      </c>
      <c r="E20" s="32">
        <f>'[338]Part 1'!$E$22</f>
        <v>6.3E-2</v>
      </c>
      <c r="F20" s="8">
        <f t="shared" ref="F20" si="231">+D20/$D$4</f>
        <v>0.89724903994638194</v>
      </c>
      <c r="G20" s="2">
        <f>'[338]Parts 2 - 3'!$C$49</f>
        <v>0</v>
      </c>
      <c r="H20" s="8"/>
      <c r="I20" s="8"/>
      <c r="J20" s="8"/>
      <c r="K20" s="8"/>
      <c r="L20" s="8"/>
      <c r="M20" s="8"/>
      <c r="N20" s="6">
        <f t="shared" ref="N20" si="232">G20/D19</f>
        <v>0</v>
      </c>
      <c r="O20" s="6">
        <f t="shared" ref="O20" si="233">1-(+N20-1)^12</f>
        <v>0</v>
      </c>
      <c r="P20" s="20">
        <f t="shared" si="33"/>
        <v>1.8606385562890921E-2</v>
      </c>
      <c r="Q20" s="20">
        <f t="shared" si="73"/>
        <v>3.7553663800433366E-2</v>
      </c>
      <c r="R20" s="17">
        <f t="shared" si="161"/>
        <v>4.4792349865721844E-2</v>
      </c>
      <c r="S20" s="26">
        <f>'[338]Parts 6 -9'!$C$4</f>
        <v>52648893.329999998</v>
      </c>
      <c r="T20" s="26">
        <f>'[338]Parts 6 -9'!$E$4</f>
        <v>778212.55</v>
      </c>
      <c r="U20" s="26">
        <f>'[338]Parts 6 -9'!$F$4</f>
        <v>264414.86</v>
      </c>
      <c r="V20" s="26">
        <f>'[338]Parts 6 -9'!$G$4</f>
        <v>52935</v>
      </c>
      <c r="W20" s="26">
        <f>'[338]Parts 6 -9'!$H$4</f>
        <v>31964.13</v>
      </c>
      <c r="X20" s="26">
        <f>'[338]Parts 6 -9'!$J$4</f>
        <v>40844.089999999997</v>
      </c>
      <c r="Y20" s="26">
        <f>'[339]Parts 2 - 3'!$C$18</f>
        <v>0</v>
      </c>
      <c r="Z20" s="26">
        <f t="shared" ref="Z20" si="234">Z19+Y20</f>
        <v>17744.25</v>
      </c>
      <c r="AA20" s="4">
        <f t="shared" ref="AA20" si="235">Z20/$D$4</f>
        <v>2.957371384613482E-4</v>
      </c>
      <c r="AB20" s="2">
        <f>'[338]Part 11'!$V$8</f>
        <v>48792486.600000024</v>
      </c>
      <c r="AC20" s="8">
        <f t="shared" ref="AC20" si="236">+AB20/$AB$4</f>
        <v>0.88392185869565265</v>
      </c>
      <c r="AD20" s="2">
        <f t="shared" ref="AD20" si="237">AB20*$AD$2</f>
        <v>39776483.641304366</v>
      </c>
      <c r="AE20" s="2">
        <f>'[338]Part 11'!$V$9</f>
        <v>3600000</v>
      </c>
      <c r="AF20" s="8">
        <f t="shared" ref="AF20" si="238">+AE20/$AE$4</f>
        <v>1</v>
      </c>
      <c r="AG20" s="2">
        <f>'[338]Part 11'!$V$10</f>
        <v>1200000</v>
      </c>
      <c r="AH20" s="8">
        <f t="shared" ref="AH20" si="239">+AG20/$AG$4</f>
        <v>1</v>
      </c>
      <c r="AI20" s="8">
        <f t="shared" ref="AI20" si="240">+AB20/D20</f>
        <v>0.90633378209342752</v>
      </c>
      <c r="AJ20" s="2">
        <f>'[338]Parts 4 - 5 '!$C$45</f>
        <v>588950.68694362522</v>
      </c>
      <c r="AK20" s="4">
        <f t="shared" ref="AK20" si="241">((+D20+AJ20)-AB20)/D20</f>
        <v>0.10460613797951542</v>
      </c>
      <c r="AL20" s="4">
        <f t="shared" ref="AL20" si="242">+S20/$D20</f>
        <v>0.97796759173188574</v>
      </c>
      <c r="AM20" s="4">
        <f t="shared" ref="AM20" si="243">+T20/$D20</f>
        <v>1.4455510937498936E-2</v>
      </c>
      <c r="AN20" s="4">
        <f t="shared" ref="AN20" si="244">+U20/$D20</f>
        <v>4.9115783352083565E-3</v>
      </c>
      <c r="AO20" s="4">
        <f t="shared" ref="AO20" si="245">+V20/$D20</f>
        <v>9.8328210136999989E-4</v>
      </c>
      <c r="AP20" s="4">
        <f t="shared" ref="AP20" si="246">+W20/$D20</f>
        <v>5.9374245612286492E-4</v>
      </c>
      <c r="AQ20" s="4">
        <f t="shared" ref="AQ20" si="247">+X20/$D20</f>
        <v>7.5869014156504009E-4</v>
      </c>
      <c r="AR20" s="4">
        <f t="shared" ref="AR20" si="248">+Y20/$D20</f>
        <v>0</v>
      </c>
    </row>
    <row r="21" spans="1:44" x14ac:dyDescent="0.25">
      <c r="A21">
        <f t="shared" si="7"/>
        <v>17</v>
      </c>
      <c r="B21" s="3">
        <f t="shared" si="19"/>
        <v>44034</v>
      </c>
      <c r="C21" s="41">
        <f>'[340]Part 1'!$C$18</f>
        <v>2041</v>
      </c>
      <c r="D21" s="2">
        <f>'[340]Part 1'!$C$22</f>
        <v>53304957.890000001</v>
      </c>
      <c r="E21" s="32">
        <f>'[340]Part 1'!$E$22</f>
        <v>6.2899999999999998E-2</v>
      </c>
      <c r="F21" s="8">
        <f t="shared" ref="F21" si="249">+D21/$D$4</f>
        <v>0.888414878746144</v>
      </c>
      <c r="G21" s="2">
        <f>'[340]Parts 2 - 3'!$C$49</f>
        <v>173831.46</v>
      </c>
      <c r="H21" s="8"/>
      <c r="I21" s="8"/>
      <c r="J21" s="8"/>
      <c r="K21" s="8"/>
      <c r="L21" s="8"/>
      <c r="M21" s="8"/>
      <c r="N21" s="6">
        <f t="shared" ref="N21" si="250">G21/D20</f>
        <v>3.2289669079628804E-3</v>
      </c>
      <c r="O21" s="6">
        <f t="shared" ref="O21:O26" si="251">1-(+N21-1)^12</f>
        <v>3.8066824869052107E-2</v>
      </c>
      <c r="P21" s="20">
        <f t="shared" si="33"/>
        <v>1.3606733613922469E-2</v>
      </c>
      <c r="Q21" s="20">
        <f t="shared" si="73"/>
        <v>3.7534404292716893E-2</v>
      </c>
      <c r="R21" s="17">
        <f t="shared" si="161"/>
        <v>4.3652163415379586E-2</v>
      </c>
      <c r="S21" s="26">
        <f>'[340]Parts 6 -9'!$C$4</f>
        <v>51955990.969999999</v>
      </c>
      <c r="T21" s="26">
        <f>'[340]Parts 6 -9'!$E$4</f>
        <v>900938.17</v>
      </c>
      <c r="U21" s="26">
        <f>'[340]Parts 6 -9'!$F$4</f>
        <v>286570.17</v>
      </c>
      <c r="V21" s="26">
        <f>'[340]Parts 6 -9'!$G$4</f>
        <v>17971.11</v>
      </c>
      <c r="W21" s="26">
        <f>'[340]Parts 6 -9'!$H$4</f>
        <v>3975.57</v>
      </c>
      <c r="X21" s="26">
        <f>'[340]Parts 6 -9'!$J$4</f>
        <v>64276.41</v>
      </c>
      <c r="Y21" s="26">
        <f>'[341]Parts 2 - 3'!$C$18</f>
        <v>40844.089999999997</v>
      </c>
      <c r="Z21" s="26">
        <f t="shared" ref="Z21" si="252">Z20+Y21</f>
        <v>58588.34</v>
      </c>
      <c r="AA21" s="4">
        <f t="shared" ref="AA21" si="253">Z21/$D$4</f>
        <v>9.7647113959736505E-4</v>
      </c>
      <c r="AB21" s="2">
        <f>'[340]Part 11'!$V$8</f>
        <v>48200222.780000024</v>
      </c>
      <c r="AC21" s="8">
        <f t="shared" ref="AC21" si="254">+AB21/$AB$4</f>
        <v>0.8731924416666671</v>
      </c>
      <c r="AD21" s="2">
        <f t="shared" ref="AD21" si="255">AB21*$AD$2</f>
        <v>39293659.875000015</v>
      </c>
      <c r="AE21" s="2">
        <f>'[340]Part 11'!$V$9</f>
        <v>3600000</v>
      </c>
      <c r="AF21" s="8">
        <f t="shared" ref="AF21" si="256">+AE21/$AE$4</f>
        <v>1</v>
      </c>
      <c r="AG21" s="2">
        <f>'[340]Part 11'!$V$10</f>
        <v>1200000</v>
      </c>
      <c r="AH21" s="8">
        <f t="shared" ref="AH21" si="257">+AG21/$AG$4</f>
        <v>1</v>
      </c>
      <c r="AI21" s="8">
        <f t="shared" ref="AI21" si="258">+AB21/D21</f>
        <v>0.90423526606035221</v>
      </c>
      <c r="AJ21" s="2">
        <f>'[340]Parts 4 - 5 '!$C$45</f>
        <v>583354.84023356275</v>
      </c>
      <c r="AK21" s="4">
        <f t="shared" ref="AK21" si="259">((+D21+AJ21)-AB21)/D21</f>
        <v>0.10670845968908693</v>
      </c>
      <c r="AL21" s="4">
        <f t="shared" ref="AL21" si="260">+S21/$D21</f>
        <v>0.97469340614087474</v>
      </c>
      <c r="AM21" s="4">
        <f t="shared" ref="AM21" si="261">+T21/$D21</f>
        <v>1.6901582998323988E-2</v>
      </c>
      <c r="AN21" s="4">
        <f t="shared" ref="AN21" si="262">+U21/$D21</f>
        <v>5.3760509593003634E-3</v>
      </c>
      <c r="AO21" s="4">
        <f t="shared" ref="AO21" si="263">+V21/$D21</f>
        <v>3.3713768308541104E-4</v>
      </c>
      <c r="AP21" s="4">
        <f t="shared" ref="AP21" si="264">+W21/$D21</f>
        <v>7.4581617871342817E-5</v>
      </c>
      <c r="AQ21" s="4">
        <f t="shared" ref="AQ21" si="265">+X21/$D21</f>
        <v>1.2058242336977485E-3</v>
      </c>
      <c r="AR21" s="4">
        <f t="shared" ref="AR21" si="266">+Y21/$D21</f>
        <v>7.6623435449073567E-4</v>
      </c>
    </row>
    <row r="22" spans="1:44" x14ac:dyDescent="0.25">
      <c r="A22">
        <f t="shared" ref="A22:A27" si="267">A21+1</f>
        <v>18</v>
      </c>
      <c r="B22" s="3">
        <f t="shared" ref="B22:B27" si="268">+B21+31</f>
        <v>44065</v>
      </c>
      <c r="C22" s="41">
        <f>'[342]Part 1'!$C$18</f>
        <v>2041</v>
      </c>
      <c r="D22" s="2">
        <f>'[342]Part 1'!$C$22</f>
        <v>53304957.890000001</v>
      </c>
      <c r="E22" s="32">
        <f>'[342]Part 1'!$E$22</f>
        <v>6.2899999999999998E-2</v>
      </c>
      <c r="F22" s="8">
        <f t="shared" ref="F22" si="269">+D22/$D$4</f>
        <v>0.888414878746144</v>
      </c>
      <c r="G22" s="2">
        <f>'[342]Parts 2 - 3'!$C$49</f>
        <v>173831.46</v>
      </c>
      <c r="H22" s="8"/>
      <c r="I22" s="8"/>
      <c r="J22" s="8"/>
      <c r="K22" s="8"/>
      <c r="L22" s="8"/>
      <c r="M22" s="8"/>
      <c r="N22" s="6">
        <f t="shared" ref="N22:N27" si="270">G22/D21</f>
        <v>3.2610748958608734E-3</v>
      </c>
      <c r="O22" s="6">
        <f t="shared" si="251"/>
        <v>3.8438588490651293E-2</v>
      </c>
      <c r="P22" s="20">
        <f t="shared" si="33"/>
        <v>2.5501804453234467E-2</v>
      </c>
      <c r="Q22" s="20">
        <f t="shared" si="73"/>
        <v>3.0809558550452348E-2</v>
      </c>
      <c r="R22" s="17">
        <f t="shared" si="161"/>
        <v>4.1770079049171599E-2</v>
      </c>
      <c r="S22" s="26">
        <f>'[342]Parts 6 -9'!$C$4</f>
        <v>51955990.969999999</v>
      </c>
      <c r="T22" s="26">
        <f>'[342]Parts 6 -9'!$E$4</f>
        <v>900938.17</v>
      </c>
      <c r="U22" s="26">
        <f>'[342]Parts 6 -9'!$F$4</f>
        <v>286570.17</v>
      </c>
      <c r="V22" s="26">
        <f>'[342]Parts 6 -9'!$G$4</f>
        <v>17971.11</v>
      </c>
      <c r="W22" s="26">
        <f>'[342]Parts 6 -9'!$H$4</f>
        <v>3975.57</v>
      </c>
      <c r="X22" s="26">
        <f>'[342]Parts 6 -9'!$J$4</f>
        <v>64276.41</v>
      </c>
      <c r="Y22" s="26">
        <f>'[343]Parts 2 - 3'!$C$18</f>
        <v>30226.120000000003</v>
      </c>
      <c r="Z22" s="26">
        <f t="shared" ref="Z22:Z27" si="271">Z21+Y22</f>
        <v>88814.459999999992</v>
      </c>
      <c r="AA22" s="4">
        <f t="shared" ref="AA22" si="272">Z22/$D$4</f>
        <v>1.4802391904075896E-3</v>
      </c>
      <c r="AB22" s="2">
        <f>'[342]Part 11'!$V$8</f>
        <v>48200222.780000024</v>
      </c>
      <c r="AC22" s="8">
        <f t="shared" ref="AC22" si="273">+AB22/$AB$4</f>
        <v>0.8731924416666671</v>
      </c>
      <c r="AD22" s="2">
        <f t="shared" ref="AD22" si="274">AB22*$AD$2</f>
        <v>39293659.875000015</v>
      </c>
      <c r="AE22" s="2">
        <f>'[342]Part 11'!$V$9</f>
        <v>3600000</v>
      </c>
      <c r="AF22" s="8">
        <f t="shared" ref="AF22" si="275">+AE22/$AE$4</f>
        <v>1</v>
      </c>
      <c r="AG22" s="2">
        <f>'[342]Part 11'!$V$10</f>
        <v>1200000</v>
      </c>
      <c r="AH22" s="8">
        <f t="shared" ref="AH22" si="276">+AG22/$AG$4</f>
        <v>1</v>
      </c>
      <c r="AI22" s="8">
        <f t="shared" ref="AI22" si="277">+AB22/D22</f>
        <v>0.90423526606035221</v>
      </c>
      <c r="AJ22" s="2">
        <f>'[342]Parts 4 - 5 '!$C$45</f>
        <v>583354.84023356275</v>
      </c>
      <c r="AK22" s="4">
        <f t="shared" ref="AK22" si="278">((+D22+AJ22)-AB22)/D22</f>
        <v>0.10670845968908693</v>
      </c>
      <c r="AL22" s="4">
        <f t="shared" ref="AL22:AR23" si="279">+S22/$D22</f>
        <v>0.97469340614087474</v>
      </c>
      <c r="AM22" s="4">
        <f t="shared" si="279"/>
        <v>1.6901582998323988E-2</v>
      </c>
      <c r="AN22" s="4">
        <f t="shared" si="279"/>
        <v>5.3760509593003634E-3</v>
      </c>
      <c r="AO22" s="4">
        <f t="shared" si="279"/>
        <v>3.3713768308541104E-4</v>
      </c>
      <c r="AP22" s="4">
        <f t="shared" si="279"/>
        <v>7.4581617871342817E-5</v>
      </c>
      <c r="AQ22" s="4">
        <f t="shared" si="279"/>
        <v>1.2058242336977485E-3</v>
      </c>
      <c r="AR22" s="4">
        <f t="shared" si="279"/>
        <v>5.6704143847884775E-4</v>
      </c>
    </row>
    <row r="23" spans="1:44" x14ac:dyDescent="0.25">
      <c r="A23">
        <f t="shared" si="267"/>
        <v>19</v>
      </c>
      <c r="B23" s="3">
        <f t="shared" si="268"/>
        <v>44096</v>
      </c>
      <c r="C23" s="41">
        <f>'[344]Part 1'!$C$18</f>
        <v>2030</v>
      </c>
      <c r="D23" s="2">
        <f>'[344]Part 1'!$C$22</f>
        <v>52852297.909999996</v>
      </c>
      <c r="E23" s="32">
        <f>'[344]Part 1'!$E$22</f>
        <v>6.2899999999999998E-2</v>
      </c>
      <c r="F23" s="8">
        <f t="shared" ref="F23" si="280">+D23/$D$4</f>
        <v>0.88087055496907984</v>
      </c>
      <c r="G23" s="2">
        <f>'[344]Parts 2 - 3'!$C$49</f>
        <v>60827.13</v>
      </c>
      <c r="H23" s="8"/>
      <c r="I23" s="8"/>
      <c r="J23" s="8"/>
      <c r="K23" s="8"/>
      <c r="L23" s="8"/>
      <c r="M23" s="8"/>
      <c r="N23" s="6">
        <f t="shared" si="270"/>
        <v>1.1411158062543214E-3</v>
      </c>
      <c r="O23" s="6">
        <f t="shared" si="251"/>
        <v>1.3607774146256579E-2</v>
      </c>
      <c r="P23" s="20">
        <f t="shared" si="33"/>
        <v>3.0037729168653327E-2</v>
      </c>
      <c r="Q23" s="20">
        <f t="shared" si="73"/>
        <v>2.4322057365772125E-2</v>
      </c>
      <c r="R23" s="17">
        <f t="shared" si="161"/>
        <v>3.7527743342884202E-2</v>
      </c>
      <c r="S23" s="26">
        <f>'[344]Parts 6 -9'!$C$4</f>
        <v>50648738.840000004</v>
      </c>
      <c r="T23" s="26">
        <f>'[344]Parts 6 -9'!$E$4</f>
        <v>1387588.9</v>
      </c>
      <c r="U23" s="26">
        <f>'[344]Parts 6 -9'!$F$4</f>
        <v>529030.48</v>
      </c>
      <c r="V23" s="26">
        <f>'[344]Parts 6 -9'!$G$4</f>
        <v>138255.18</v>
      </c>
      <c r="W23" s="26">
        <f>'[344]Parts 6 -9'!$H$4</f>
        <v>15316.98</v>
      </c>
      <c r="X23" s="26">
        <f>'[344]Parts 6 -9'!$J$4</f>
        <v>9172.61</v>
      </c>
      <c r="Y23" s="26">
        <f>'[345]Parts 2 - 3'!$C$18</f>
        <v>54673.009999999995</v>
      </c>
      <c r="Z23" s="26">
        <f t="shared" si="271"/>
        <v>143487.46999999997</v>
      </c>
      <c r="AA23" s="4">
        <f t="shared" ref="AA23" si="281">Z23/$D$4</f>
        <v>2.3914549097797055E-3</v>
      </c>
      <c r="AB23" s="2">
        <f>'[344]Part 11'!$V$8</f>
        <v>47698586.170000024</v>
      </c>
      <c r="AC23" s="8">
        <f t="shared" ref="AC23" si="282">+AB23/$AB$4</f>
        <v>0.86410482192029026</v>
      </c>
      <c r="AD23" s="2">
        <f t="shared" ref="AD23" si="283">AB23*$AD$2</f>
        <v>38884716.986413062</v>
      </c>
      <c r="AE23" s="2">
        <f>'[344]Part 11'!$V$9</f>
        <v>3600000</v>
      </c>
      <c r="AF23" s="8">
        <f t="shared" ref="AF23" si="284">+AE23/$AE$4</f>
        <v>1</v>
      </c>
      <c r="AG23" s="2">
        <f>'[344]Part 11'!$V$10</f>
        <v>1200000</v>
      </c>
      <c r="AH23" s="8">
        <f t="shared" ref="AH23" si="285">+AG23/$AG$4</f>
        <v>1</v>
      </c>
      <c r="AI23" s="8">
        <f t="shared" ref="AI23" si="286">+AB23/D23</f>
        <v>0.90248840743356107</v>
      </c>
      <c r="AJ23" s="2">
        <f>'[344]Parts 4 - 5 '!$C$45</f>
        <v>575998.07297756267</v>
      </c>
      <c r="AK23" s="4">
        <f t="shared" ref="AK23" si="287">((+D23+AJ23)-AB23)/D23</f>
        <v>0.1084098523537127</v>
      </c>
      <c r="AL23" s="4">
        <f t="shared" si="279"/>
        <v>0.95830722301322935</v>
      </c>
      <c r="AM23" s="4">
        <f t="shared" si="279"/>
        <v>2.6254088372143592E-2</v>
      </c>
      <c r="AN23" s="4">
        <f t="shared" si="279"/>
        <v>1.0009602248531639E-2</v>
      </c>
      <c r="AO23" s="4">
        <f t="shared" si="279"/>
        <v>2.6158783149869669E-3</v>
      </c>
      <c r="AP23" s="4">
        <f t="shared" si="279"/>
        <v>2.8980726677357822E-4</v>
      </c>
      <c r="AQ23" s="4">
        <f t="shared" si="279"/>
        <v>1.7355177282205706E-4</v>
      </c>
      <c r="AR23" s="4">
        <f t="shared" si="279"/>
        <v>1.034449062046468E-3</v>
      </c>
    </row>
    <row r="24" spans="1:44" x14ac:dyDescent="0.25">
      <c r="A24">
        <f t="shared" si="267"/>
        <v>20</v>
      </c>
      <c r="B24" s="3">
        <f t="shared" si="268"/>
        <v>44127</v>
      </c>
      <c r="C24" s="41">
        <f>'[346]Part 1'!$C$18</f>
        <v>2022</v>
      </c>
      <c r="D24" s="2">
        <f>'[346]Part 1'!$C$22</f>
        <v>52587958.93</v>
      </c>
      <c r="E24" s="32">
        <f>'[346]Part 1'!$E$22</f>
        <v>6.2899999999999998E-2</v>
      </c>
      <c r="F24" s="8">
        <f t="shared" ref="F24" si="288">+D24/$D$4</f>
        <v>0.87646491068831334</v>
      </c>
      <c r="G24" s="2">
        <f>'[346]Parts 2 - 3'!$C$49</f>
        <v>73134.87</v>
      </c>
      <c r="H24" s="8"/>
      <c r="I24" s="8"/>
      <c r="J24" s="8"/>
      <c r="K24" s="8"/>
      <c r="L24" s="8"/>
      <c r="M24" s="8"/>
      <c r="N24" s="6">
        <f t="shared" si="270"/>
        <v>1.3837595126807609E-3</v>
      </c>
      <c r="O24" s="6">
        <f t="shared" si="251"/>
        <v>1.6479319089703903E-2</v>
      </c>
      <c r="P24" s="20">
        <f t="shared" si="33"/>
        <v>2.2841893908870592E-2</v>
      </c>
      <c r="Q24" s="20">
        <f t="shared" ref="Q24" si="289">AVERAGE(O19:O24)</f>
        <v>1.8224313761396532E-2</v>
      </c>
      <c r="R24" s="17">
        <f t="shared" ref="R24" si="290">AVERAGE(O13:O24)</f>
        <v>3.423053404293222E-2</v>
      </c>
      <c r="S24" s="26">
        <f>'[346]Parts 6 -9'!$C$4</f>
        <v>50115330.840000004</v>
      </c>
      <c r="T24" s="26">
        <f>'[346]Parts 6 -9'!$E$4</f>
        <v>1457065.2</v>
      </c>
      <c r="U24" s="26">
        <f>'[346]Parts 6 -9'!$F$4</f>
        <v>605674.66</v>
      </c>
      <c r="V24" s="26">
        <f>'[346]Parts 6 -9'!$G$4</f>
        <v>238135.28</v>
      </c>
      <c r="W24" s="26">
        <f>'[346]Parts 6 -9'!$H$4</f>
        <v>38385.42</v>
      </c>
      <c r="X24" s="26">
        <f>'[346]Parts 6 -9'!$J$4</f>
        <v>0</v>
      </c>
      <c r="Y24" s="26">
        <f>'[347]Parts 2 - 3'!$C$18</f>
        <v>0</v>
      </c>
      <c r="Z24" s="26">
        <f t="shared" si="271"/>
        <v>143487.46999999997</v>
      </c>
      <c r="AA24" s="4">
        <f t="shared" ref="AA24" si="291">Z24/$D$4</f>
        <v>2.3914549097797055E-3</v>
      </c>
      <c r="AB24" s="2">
        <f>'[346]Part 11'!$V$8</f>
        <v>47425034.060000025</v>
      </c>
      <c r="AC24" s="8">
        <f t="shared" ref="AC24" si="292">+AB24/$AB$4</f>
        <v>0.8591491677536236</v>
      </c>
      <c r="AD24" s="2">
        <f t="shared" ref="AD24" si="293">AB24*$AD$2</f>
        <v>38661712.548913062</v>
      </c>
      <c r="AE24" s="2">
        <f>'[346]Part 11'!$V$9</f>
        <v>3600000</v>
      </c>
      <c r="AF24" s="8">
        <f t="shared" ref="AF24" si="294">+AE24/$AE$4</f>
        <v>1</v>
      </c>
      <c r="AG24" s="2">
        <f>'[346]Part 11'!$V$10</f>
        <v>1200000</v>
      </c>
      <c r="AH24" s="8">
        <f t="shared" ref="AH24" si="295">+AG24/$AG$4</f>
        <v>1</v>
      </c>
      <c r="AI24" s="8">
        <f t="shared" ref="AI24" si="296">+AB24/D24</f>
        <v>0.90182306035356186</v>
      </c>
      <c r="AJ24" s="2">
        <f>'[346]Parts 4 - 5 '!$C$45</f>
        <v>573277.38253068784</v>
      </c>
      <c r="AK24" s="4">
        <f t="shared" ref="AK24" si="297">((+D24+AJ24)-AB24)/D24</f>
        <v>0.10907824470172234</v>
      </c>
      <c r="AL24" s="4">
        <f t="shared" ref="AL24" si="298">+S24/$D24</f>
        <v>0.95298109794884189</v>
      </c>
      <c r="AM24" s="4">
        <f t="shared" ref="AM24" si="299">+T24/$D24</f>
        <v>2.7707201984003678E-2</v>
      </c>
      <c r="AN24" s="4">
        <f t="shared" ref="AN24" si="300">+U24/$D24</f>
        <v>1.1517363904657633E-2</v>
      </c>
      <c r="AO24" s="4">
        <f t="shared" ref="AO24" si="301">+V24/$D24</f>
        <v>4.5283233052832994E-3</v>
      </c>
      <c r="AP24" s="4">
        <f t="shared" ref="AP24" si="302">+W24/$D24</f>
        <v>7.2992792991062757E-4</v>
      </c>
      <c r="AQ24" s="4">
        <f t="shared" ref="AQ24" si="303">+X24/$D24</f>
        <v>0</v>
      </c>
      <c r="AR24" s="4">
        <f t="shared" ref="AR24" si="304">+Y24/$D24</f>
        <v>0</v>
      </c>
    </row>
    <row r="25" spans="1:44" x14ac:dyDescent="0.25">
      <c r="A25">
        <f t="shared" si="267"/>
        <v>21</v>
      </c>
      <c r="B25" s="3">
        <f t="shared" si="268"/>
        <v>44158</v>
      </c>
      <c r="C25" s="41">
        <f>'[348]Part 1'!$C$18</f>
        <v>2022</v>
      </c>
      <c r="D25" s="2">
        <f>'[348]Part 1'!$C$22</f>
        <v>52587958.93</v>
      </c>
      <c r="E25" s="32">
        <f>'[348]Part 1'!$E$22</f>
        <v>6.2899999999999998E-2</v>
      </c>
      <c r="F25" s="8">
        <f t="shared" ref="F25" si="305">+D25/$D$4</f>
        <v>0.87646491068831334</v>
      </c>
      <c r="G25" s="2">
        <f>'[348]Parts 2 - 3'!$C$49</f>
        <v>73134.87</v>
      </c>
      <c r="H25" s="8"/>
      <c r="I25" s="8"/>
      <c r="J25" s="8"/>
      <c r="K25" s="8"/>
      <c r="L25" s="8"/>
      <c r="M25" s="8"/>
      <c r="N25" s="6">
        <f t="shared" si="270"/>
        <v>1.3907151273421746E-3</v>
      </c>
      <c r="O25" s="6">
        <f t="shared" si="251"/>
        <v>1.6561521583825178E-2</v>
      </c>
      <c r="P25" s="20">
        <f t="shared" ref="P25" si="306">AVERAGE(O23:O25)</f>
        <v>1.5549538273261887E-2</v>
      </c>
      <c r="Q25" s="20">
        <f t="shared" ref="Q25" si="307">AVERAGE(O20:O25)</f>
        <v>2.0525671363248177E-2</v>
      </c>
      <c r="R25" s="17">
        <f t="shared" ref="R25" si="308">AVERAGE(O14:O25)</f>
        <v>3.20428341537079E-2</v>
      </c>
      <c r="S25" s="26">
        <f>'[348]Parts 6 -9'!$C$4</f>
        <v>50115330.840000004</v>
      </c>
      <c r="T25" s="26">
        <f>'[348]Parts 6 -9'!$E$4</f>
        <v>1457065.2</v>
      </c>
      <c r="U25" s="26">
        <f>'[348]Parts 6 -9'!$F$4</f>
        <v>605674.66</v>
      </c>
      <c r="V25" s="26">
        <f>'[348]Parts 6 -9'!$G$4</f>
        <v>238135.28</v>
      </c>
      <c r="W25" s="26">
        <f>'[348]Parts 6 -9'!$H$4</f>
        <v>38385.42</v>
      </c>
      <c r="X25" s="26">
        <f>'[348]Parts 6 -9'!$J$4</f>
        <v>0</v>
      </c>
      <c r="Y25" s="26">
        <f>'[349]Parts 2 - 3'!$C$18</f>
        <v>0</v>
      </c>
      <c r="Z25" s="26">
        <f t="shared" si="271"/>
        <v>143487.46999999997</v>
      </c>
      <c r="AA25" s="4">
        <f t="shared" ref="AA25" si="309">Z25/$D$4</f>
        <v>2.3914549097797055E-3</v>
      </c>
      <c r="AB25" s="2">
        <f>'[348]Part 11'!$V$8</f>
        <v>47425034.060000025</v>
      </c>
      <c r="AC25" s="8">
        <f t="shared" ref="AC25" si="310">+AB25/$AB$4</f>
        <v>0.8591491677536236</v>
      </c>
      <c r="AD25" s="2">
        <f t="shared" ref="AD25" si="311">AB25*$AD$2</f>
        <v>38661712.548913062</v>
      </c>
      <c r="AE25" s="2">
        <f>'[348]Part 11'!$V$9</f>
        <v>3600000</v>
      </c>
      <c r="AF25" s="8">
        <f t="shared" ref="AF25" si="312">+AE25/$AE$4</f>
        <v>1</v>
      </c>
      <c r="AG25" s="2">
        <f>'[348]Part 11'!$V$10</f>
        <v>1200000</v>
      </c>
      <c r="AH25" s="8">
        <f t="shared" ref="AH25" si="313">+AG25/$AG$4</f>
        <v>1</v>
      </c>
      <c r="AI25" s="8">
        <f t="shared" ref="AI25" si="314">+AB25/D25</f>
        <v>0.90182306035356186</v>
      </c>
      <c r="AJ25" s="2">
        <f>'[348]Parts 4 - 5 '!$C$45</f>
        <v>573277.38253068784</v>
      </c>
      <c r="AK25" s="4">
        <f t="shared" ref="AK25" si="315">((+D25+AJ25)-AB25)/D25</f>
        <v>0.10907824470172234</v>
      </c>
      <c r="AL25" s="4">
        <f t="shared" ref="AL25" si="316">+S25/$D25</f>
        <v>0.95298109794884189</v>
      </c>
      <c r="AM25" s="4">
        <f t="shared" ref="AM25" si="317">+T25/$D25</f>
        <v>2.7707201984003678E-2</v>
      </c>
      <c r="AN25" s="4">
        <f t="shared" ref="AN25" si="318">+U25/$D25</f>
        <v>1.1517363904657633E-2</v>
      </c>
      <c r="AO25" s="4">
        <f t="shared" ref="AO25" si="319">+V25/$D25</f>
        <v>4.5283233052832994E-3</v>
      </c>
      <c r="AP25" s="4">
        <f t="shared" ref="AP25" si="320">+W25/$D25</f>
        <v>7.2992792991062757E-4</v>
      </c>
      <c r="AQ25" s="4">
        <f t="shared" ref="AQ25" si="321">+X25/$D25</f>
        <v>0</v>
      </c>
      <c r="AR25" s="4">
        <f t="shared" ref="AR25" si="322">+Y25/$D25</f>
        <v>0</v>
      </c>
    </row>
    <row r="26" spans="1:44" x14ac:dyDescent="0.25">
      <c r="A26">
        <f t="shared" si="267"/>
        <v>22</v>
      </c>
      <c r="B26" s="3">
        <f t="shared" si="268"/>
        <v>44189</v>
      </c>
      <c r="C26" s="41">
        <f>'[350]Part 1'!$C$18</f>
        <v>2013</v>
      </c>
      <c r="D26" s="2">
        <f>'[350]Part 1'!$C$22</f>
        <v>52265120.090000004</v>
      </c>
      <c r="E26" s="32">
        <f>'[350]Part 1'!$E$22</f>
        <v>6.2799999999999995E-2</v>
      </c>
      <c r="F26" s="8">
        <f t="shared" ref="F26" si="323">+D26/$D$4</f>
        <v>0.8710842699328134</v>
      </c>
      <c r="G26" s="2">
        <f>'[350]Parts 2 - 3'!$C$49</f>
        <v>98173.46</v>
      </c>
      <c r="H26" s="8"/>
      <c r="I26" s="8"/>
      <c r="J26" s="8"/>
      <c r="K26" s="8"/>
      <c r="L26" s="8"/>
      <c r="M26" s="8"/>
      <c r="N26" s="6">
        <f t="shared" si="270"/>
        <v>1.8668429427101175E-3</v>
      </c>
      <c r="O26" s="6">
        <f t="shared" si="251"/>
        <v>2.2173523899010394E-2</v>
      </c>
      <c r="P26" s="20">
        <f t="shared" ref="P26" si="324">AVERAGE(O24:O26)</f>
        <v>1.8404788190846493E-2</v>
      </c>
      <c r="Q26" s="20">
        <f t="shared" ref="Q26" si="325">AVERAGE(O21:O26)</f>
        <v>2.4221258679749908E-2</v>
      </c>
      <c r="R26" s="17">
        <f t="shared" ref="R26" si="326">AVERAGE(O15:O26)</f>
        <v>3.0887461240091636E-2</v>
      </c>
      <c r="S26" s="26">
        <f>'[350]Parts 6 -9'!$C$4</f>
        <v>50098905.25</v>
      </c>
      <c r="T26" s="26">
        <f>'[350]Parts 6 -9'!$E$4</f>
        <v>1123754.92</v>
      </c>
      <c r="U26" s="26">
        <f>'[350]Parts 6 -9'!$F$4</f>
        <v>654191.97</v>
      </c>
      <c r="V26" s="26">
        <f>'[350]Parts 6 -9'!$G$4</f>
        <v>132567.98000000001</v>
      </c>
      <c r="W26" s="26">
        <f>'[350]Parts 6 -9'!$H$4</f>
        <v>131505.04999999999</v>
      </c>
      <c r="X26" s="26">
        <f>'[350]Parts 6 -9'!$J$4</f>
        <v>0</v>
      </c>
      <c r="Y26" s="26">
        <f>'[351]Parts 2 - 3'!$C$18</f>
        <v>0</v>
      </c>
      <c r="Z26" s="26">
        <f t="shared" si="271"/>
        <v>143487.46999999997</v>
      </c>
      <c r="AA26" s="4">
        <f t="shared" ref="AA26" si="327">Z26/$D$4</f>
        <v>2.3914549097797055E-3</v>
      </c>
      <c r="AB26" s="2">
        <f>'[350]Part 11'!$V$8</f>
        <v>47094450.490000017</v>
      </c>
      <c r="AC26" s="8">
        <f t="shared" ref="AC26" si="328">+AB26/$AB$4</f>
        <v>0.85316033496376842</v>
      </c>
      <c r="AD26" s="2">
        <f t="shared" ref="AD26" si="329">AB26*$AD$2</f>
        <v>38392215.073369578</v>
      </c>
      <c r="AE26" s="2">
        <f>'[350]Part 11'!$V$9</f>
        <v>3600000</v>
      </c>
      <c r="AF26" s="8">
        <f t="shared" ref="AF26" si="330">+AE26/$AE$4</f>
        <v>1</v>
      </c>
      <c r="AG26" s="2">
        <f>'[350]Part 11'!$V$10</f>
        <v>1200000</v>
      </c>
      <c r="AH26" s="8">
        <f t="shared" ref="AH26" si="331">+AG26/$AG$4</f>
        <v>1</v>
      </c>
      <c r="AI26" s="8">
        <f t="shared" ref="AI26" si="332">+AB26/D26</f>
        <v>0.90106844505291206</v>
      </c>
      <c r="AJ26" s="2">
        <f>'[350]Parts 4 - 5 '!$C$45</f>
        <v>569989.62810862518</v>
      </c>
      <c r="AK26" s="4">
        <f t="shared" ref="AK26" si="333">((+D26+AJ26)-AB26)/D26</f>
        <v>0.10983729145218184</v>
      </c>
      <c r="AL26" s="4">
        <f t="shared" ref="AL26" si="334">+S26/$D26</f>
        <v>0.95855333659867603</v>
      </c>
      <c r="AM26" s="4">
        <f t="shared" ref="AM26" si="335">+T26/$D26</f>
        <v>2.1501049228718989E-2</v>
      </c>
      <c r="AN26" s="4">
        <f t="shared" ref="AN26" si="336">+U26/$D26</f>
        <v>1.2516798370949652E-2</v>
      </c>
      <c r="AO26" s="4">
        <f t="shared" ref="AO26" si="337">+V26/$D26</f>
        <v>2.5364522222797786E-3</v>
      </c>
      <c r="AP26" s="4">
        <f t="shared" ref="AP26" si="338">+W26/$D26</f>
        <v>2.5161149495791769E-3</v>
      </c>
      <c r="AQ26" s="4">
        <f t="shared" ref="AQ26" si="339">+X26/$D26</f>
        <v>0</v>
      </c>
      <c r="AR26" s="4">
        <f t="shared" ref="AR26" si="340">+Y26/$D26</f>
        <v>0</v>
      </c>
    </row>
    <row r="27" spans="1:44" x14ac:dyDescent="0.25">
      <c r="A27">
        <f t="shared" si="267"/>
        <v>23</v>
      </c>
      <c r="B27" s="3">
        <f t="shared" si="268"/>
        <v>44220</v>
      </c>
      <c r="C27" s="41">
        <f>'[352]Part 1'!$C$18</f>
        <v>2009</v>
      </c>
      <c r="D27" s="2">
        <f>'[353]Part 1'!$C$22</f>
        <v>52056453.039999999</v>
      </c>
      <c r="E27" s="32">
        <f>'[353]Part 1'!$E$22</f>
        <v>6.2799999999999995E-2</v>
      </c>
      <c r="F27" s="8">
        <f t="shared" ref="F27" si="341">+D27/$D$4</f>
        <v>0.8676064900177326</v>
      </c>
      <c r="G27" s="2">
        <f>'[353]Parts 2 - 3'!$C$49</f>
        <v>44873.61</v>
      </c>
      <c r="H27" s="8"/>
      <c r="I27" s="8"/>
      <c r="J27" s="8"/>
      <c r="K27" s="8"/>
      <c r="L27" s="8"/>
      <c r="M27" s="8"/>
      <c r="N27" s="6">
        <f t="shared" si="270"/>
        <v>8.5857661711535535E-4</v>
      </c>
      <c r="O27" s="6">
        <f t="shared" ref="O27" si="342">1-(+N27-1)^12</f>
        <v>1.0254406224144641E-2</v>
      </c>
      <c r="P27" s="20">
        <f t="shared" ref="P27" si="343">AVERAGE(O25:O27)</f>
        <v>1.6329817235660071E-2</v>
      </c>
      <c r="Q27" s="20">
        <f t="shared" ref="Q27" si="344">AVERAGE(O22:O27)</f>
        <v>1.9585855572265332E-2</v>
      </c>
      <c r="R27" s="17">
        <f t="shared" ref="R27" si="345">AVERAGE(O16:O27)</f>
        <v>2.8560129932491112E-2</v>
      </c>
      <c r="S27" s="26">
        <f>'[353]Parts 6 -9'!$C$4</f>
        <v>49957717.399999999</v>
      </c>
      <c r="T27" s="26">
        <f>'[353]Parts 6 -9'!$E$4</f>
        <v>1192593.08</v>
      </c>
      <c r="U27" s="26">
        <f>'[353]Parts 6 -9'!$F$4</f>
        <v>438374.9</v>
      </c>
      <c r="V27" s="26">
        <f>'[353]Parts 6 -9'!$G$4</f>
        <v>200473.24</v>
      </c>
      <c r="W27" s="26">
        <f>'[353]Parts 6 -9'!$H$4</f>
        <v>71267.12</v>
      </c>
      <c r="X27" s="26">
        <f>'[353]Parts 6 -9'!$J$4</f>
        <v>71832.38</v>
      </c>
      <c r="Y27" s="26">
        <f>'[354]Parts 2 - 3'!$C$18</f>
        <v>0</v>
      </c>
      <c r="Z27" s="26">
        <f t="shared" si="271"/>
        <v>143487.46999999997</v>
      </c>
      <c r="AA27" s="4">
        <f t="shared" ref="AA27" si="346">Z27/$D$4</f>
        <v>2.3914549097797055E-3</v>
      </c>
      <c r="AB27" s="2">
        <f>'[353]Part 11'!$V$8</f>
        <v>46863219.670000017</v>
      </c>
      <c r="AC27" s="8">
        <f t="shared" ref="AC27" si="347">+AB27/$AB$4</f>
        <v>0.84897137083333363</v>
      </c>
      <c r="AD27" s="2">
        <f t="shared" ref="AD27" si="348">AB27*$AD$2</f>
        <v>38203711.687500015</v>
      </c>
      <c r="AE27" s="2">
        <f>'[353]Part 11'!$V$9</f>
        <v>3600000</v>
      </c>
      <c r="AF27" s="8">
        <f t="shared" ref="AF27" si="349">+AE27/$AE$4</f>
        <v>1</v>
      </c>
      <c r="AG27" s="2">
        <f>'[353]Part 11'!$V$10</f>
        <v>1200000</v>
      </c>
      <c r="AH27" s="8">
        <f t="shared" ref="AH27" si="350">+AG27/$AG$4</f>
        <v>1</v>
      </c>
      <c r="AI27" s="8">
        <f t="shared" ref="AI27" si="351">+AB27/D27</f>
        <v>0.90023843218804167</v>
      </c>
      <c r="AJ27" s="2">
        <f>'[353]Parts 4 - 5 '!$C$45</f>
        <v>566016.42682668765</v>
      </c>
      <c r="AK27" s="4">
        <f t="shared" ref="AK27" si="352">((+D27+AJ27)-AB27)/D27</f>
        <v>0.11063469484563769</v>
      </c>
      <c r="AL27" s="4">
        <f t="shared" ref="AL27" si="353">+S27/$D27</f>
        <v>0.95968346828418483</v>
      </c>
      <c r="AM27" s="4">
        <f t="shared" ref="AM27" si="354">+T27/$D27</f>
        <v>2.2909610823534512E-2</v>
      </c>
      <c r="AN27" s="4">
        <f t="shared" ref="AN27" si="355">+U27/$D27</f>
        <v>8.4211442462888177E-3</v>
      </c>
      <c r="AO27" s="4">
        <f t="shared" ref="AO27" si="356">+V27/$D27</f>
        <v>3.8510737534491074E-3</v>
      </c>
      <c r="AP27" s="4">
        <f t="shared" ref="AP27" si="357">+W27/$D27</f>
        <v>1.3690352653347047E-3</v>
      </c>
      <c r="AQ27" s="4">
        <f t="shared" ref="AQ27" si="358">+X27/$D27</f>
        <v>1.3798938614738936E-3</v>
      </c>
      <c r="AR27" s="4">
        <f t="shared" ref="AR27" si="359">+Y27/$D27</f>
        <v>0</v>
      </c>
    </row>
    <row r="28" spans="1:44" x14ac:dyDescent="0.25">
      <c r="A28">
        <f t="shared" ref="A28:A91" si="360">A27+1</f>
        <v>24</v>
      </c>
      <c r="B28" s="3">
        <f t="shared" ref="B28:B39" si="361">+B27+31</f>
        <v>44251</v>
      </c>
      <c r="C28" s="41">
        <f>'[355]Part 1'!$C$18</f>
        <v>2005</v>
      </c>
      <c r="D28" s="2">
        <f>'[356]Part 1'!$C$22</f>
        <v>51813797.979999997</v>
      </c>
      <c r="E28" s="32">
        <f>'[356]Part 1'!$E$22</f>
        <v>6.2799999999999995E-2</v>
      </c>
      <c r="F28" s="8">
        <f t="shared" ref="F28" si="362">+D28/$D$4</f>
        <v>0.86356224396182335</v>
      </c>
      <c r="G28" s="2">
        <f>'[356]Parts 2 - 3'!$C$49</f>
        <v>90098.4</v>
      </c>
      <c r="H28" s="8"/>
      <c r="I28" s="8"/>
      <c r="J28" s="8"/>
      <c r="K28" s="8"/>
      <c r="L28" s="8"/>
      <c r="M28" s="8"/>
      <c r="N28" s="6">
        <f t="shared" ref="N28" si="363">G28/D27</f>
        <v>1.7307825396933728E-3</v>
      </c>
      <c r="O28" s="6">
        <f t="shared" ref="O28" si="364">1-(+N28-1)^12</f>
        <v>2.0572816549651041E-2</v>
      </c>
      <c r="P28" s="20">
        <f t="shared" ref="P28" si="365">AVERAGE(O26:O28)</f>
        <v>1.7666915557602025E-2</v>
      </c>
      <c r="Q28" s="20">
        <f t="shared" ref="Q28" si="366">AVERAGE(O23:O28)</f>
        <v>1.6608226915431956E-2</v>
      </c>
      <c r="R28" s="17">
        <f t="shared" ref="R28" si="367">AVERAGE(O17:O28)</f>
        <v>2.370889273294215E-2</v>
      </c>
      <c r="S28" s="26">
        <f>'[356]Parts 6 -9'!$C$4</f>
        <v>49568692.140000001</v>
      </c>
      <c r="T28" s="26">
        <f>'[356]Parts 6 -9'!$E$4</f>
        <v>1299848.27</v>
      </c>
      <c r="U28" s="26">
        <f>'[356]Parts 6 -9'!$F$4</f>
        <v>453245.88</v>
      </c>
      <c r="V28" s="26">
        <f>'[356]Parts 6 -9'!$G$4</f>
        <v>167736.53</v>
      </c>
      <c r="W28" s="26">
        <f>'[356]Parts 6 -9'!$H$4</f>
        <v>109612.41</v>
      </c>
      <c r="X28" s="26">
        <f>'[356]Parts 6 -9'!$J$4</f>
        <v>27084.85</v>
      </c>
      <c r="Y28" s="26">
        <f>'[357]Parts 2 - 3'!$C$18</f>
        <v>88412.5</v>
      </c>
      <c r="Z28" s="26">
        <f t="shared" ref="Z28" si="368">Z27+Y28</f>
        <v>231899.96999999997</v>
      </c>
      <c r="AA28" s="4">
        <f t="shared" ref="AA28" si="369">Z28/$D$4</f>
        <v>3.8649947750438868E-3</v>
      </c>
      <c r="AB28" s="2">
        <f>'[356]Part 11'!$V$8</f>
        <v>46575286.51000002</v>
      </c>
      <c r="AC28" s="8">
        <f t="shared" ref="AC28" si="370">+AB28/$AB$4</f>
        <v>0.84375519039855107</v>
      </c>
      <c r="AD28" s="2">
        <f t="shared" ref="AD28" si="371">AB28*$AD$2</f>
        <v>37968983.567934796</v>
      </c>
      <c r="AE28" s="2">
        <f>'[356]Part 11'!$V$9</f>
        <v>3600000</v>
      </c>
      <c r="AF28" s="8">
        <f t="shared" ref="AF28" si="372">+AE28/$AE$4</f>
        <v>1</v>
      </c>
      <c r="AG28" s="2">
        <f>'[356]Part 11'!$V$10</f>
        <v>1200000</v>
      </c>
      <c r="AH28" s="8">
        <f t="shared" ref="AH28" si="373">+AG28/$AG$4</f>
        <v>1</v>
      </c>
      <c r="AI28" s="8">
        <f t="shared" ref="AI28" si="374">+AB28/D28</f>
        <v>0.89889736567811473</v>
      </c>
      <c r="AJ28" s="2">
        <f>'[356]Parts 4 - 5 '!$C$45</f>
        <v>563237.32140881266</v>
      </c>
      <c r="AK28" s="4">
        <f t="shared" ref="AK28" si="375">((+D28+AJ28)-AB28)/D28</f>
        <v>0.1119730461304584</v>
      </c>
      <c r="AL28" s="4">
        <f t="shared" ref="AL28" si="376">+S28/$D28</f>
        <v>0.95666973031263602</v>
      </c>
      <c r="AM28" s="4">
        <f t="shared" ref="AM28" si="377">+T28/$D28</f>
        <v>2.5086913538006583E-2</v>
      </c>
      <c r="AN28" s="4">
        <f t="shared" ref="AN28" si="378">+U28/$D28</f>
        <v>8.7475903653106424E-3</v>
      </c>
      <c r="AO28" s="4">
        <f t="shared" ref="AO28" si="379">+V28/$D28</f>
        <v>3.2372946307612097E-3</v>
      </c>
      <c r="AP28" s="4">
        <f t="shared" ref="AP28" si="380">+W28/$D28</f>
        <v>2.115506183165923E-3</v>
      </c>
      <c r="AQ28" s="4">
        <f t="shared" ref="AQ28" si="381">+X28/$D28</f>
        <v>5.2273431124378656E-4</v>
      </c>
      <c r="AR28" s="4">
        <f t="shared" ref="AR28" si="382">+Y28/$D28</f>
        <v>1.7063504982616216E-3</v>
      </c>
    </row>
    <row r="29" spans="1:44" x14ac:dyDescent="0.25">
      <c r="A29">
        <f t="shared" si="360"/>
        <v>25</v>
      </c>
      <c r="B29" s="3">
        <f t="shared" si="361"/>
        <v>44282</v>
      </c>
      <c r="C29" s="41">
        <f>'[358]Part 1'!$C$18</f>
        <v>2002</v>
      </c>
      <c r="D29" s="2">
        <f>'[359]Part 1'!$C$22</f>
        <v>51571089.380000003</v>
      </c>
      <c r="E29" s="32">
        <f>'[359]Part 1'!$E$22</f>
        <v>6.2799999999999995E-2</v>
      </c>
      <c r="F29" s="8">
        <f t="shared" ref="F29" si="383">+D29/$D$4</f>
        <v>0.85951710557367178</v>
      </c>
      <c r="G29" s="2">
        <f>'[359]Parts 2 - 3'!$C$49</f>
        <v>71870.289999999994</v>
      </c>
      <c r="H29" s="8"/>
      <c r="I29" s="8"/>
      <c r="J29" s="8"/>
      <c r="K29" s="8"/>
      <c r="L29" s="8"/>
      <c r="M29" s="8"/>
      <c r="N29" s="6">
        <f t="shared" ref="N29" si="384">G29/D28</f>
        <v>1.3870878569399942E-3</v>
      </c>
      <c r="O29" s="6">
        <f t="shared" ref="O29" si="385">1-(+N29-1)^12</f>
        <v>1.651865474565728E-2</v>
      </c>
      <c r="P29" s="20">
        <f t="shared" ref="P29" si="386">AVERAGE(O27:O29)</f>
        <v>1.5781959173150988E-2</v>
      </c>
      <c r="Q29" s="20">
        <f t="shared" ref="Q29" si="387">AVERAGE(O24:O29)</f>
        <v>1.7093373681998741E-2</v>
      </c>
      <c r="R29" s="17">
        <f t="shared" ref="R29" si="388">AVERAGE(O18:O29)</f>
        <v>2.0707715523885433E-2</v>
      </c>
      <c r="S29" s="26">
        <f>'[359]Parts 6 -9'!$C$4</f>
        <v>49315824.019999996</v>
      </c>
      <c r="T29" s="26">
        <f>'[359]Parts 6 -9'!$E$4</f>
        <v>1235988.27</v>
      </c>
      <c r="U29" s="26">
        <f>'[359]Parts 6 -9'!$F$4</f>
        <v>413200.81</v>
      </c>
      <c r="V29" s="26">
        <f>'[359]Parts 6 -9'!$G$4</f>
        <v>194346.19</v>
      </c>
      <c r="W29" s="26">
        <f>'[359]Parts 6 -9'!$H$4</f>
        <v>162585.89000000001</v>
      </c>
      <c r="X29" s="26">
        <f>'[359]Parts 6 -9'!$J$4</f>
        <v>58216.38</v>
      </c>
      <c r="Y29" s="26">
        <f>'[360]Parts 2 - 3'!$C$18</f>
        <v>0</v>
      </c>
      <c r="Z29" s="26">
        <f t="shared" ref="Z29" si="389">Z28+Y29</f>
        <v>231899.96999999997</v>
      </c>
      <c r="AA29" s="4">
        <f t="shared" ref="AA29" si="390">Z29/$D$4</f>
        <v>3.8649947750438868E-3</v>
      </c>
      <c r="AB29" s="2">
        <f>'[359]Part 11'!$V$8</f>
        <v>46311123.110000022</v>
      </c>
      <c r="AC29" s="8">
        <f t="shared" ref="AC29" si="391">+AB29/$AB$4</f>
        <v>0.83896962155797139</v>
      </c>
      <c r="AD29" s="2">
        <f t="shared" ref="AD29" si="392">AB29*$AD$2</f>
        <v>37753632.97010871</v>
      </c>
      <c r="AE29" s="2">
        <f>'[359]Part 11'!$V$9</f>
        <v>3600000</v>
      </c>
      <c r="AF29" s="8">
        <f t="shared" ref="AF29" si="393">+AE29/$AE$4</f>
        <v>1</v>
      </c>
      <c r="AG29" s="2">
        <f>'[359]Part 11'!$V$10</f>
        <v>1200000</v>
      </c>
      <c r="AH29" s="8">
        <f t="shared" ref="AH29" si="394">+AG29/$AG$4</f>
        <v>1</v>
      </c>
      <c r="AI29" s="8">
        <f t="shared" ref="AI29" si="395">+AB29/D29</f>
        <v>0.89800552338070505</v>
      </c>
      <c r="AJ29" s="2">
        <f>'[359]Parts 4 - 5 '!$C$45</f>
        <v>559776.72474206274</v>
      </c>
      <c r="AK29" s="4">
        <f t="shared" ref="AK29" si="396">((+D29+AJ29)-AB29)/D29</f>
        <v>0.11284894433506037</v>
      </c>
      <c r="AL29" s="4">
        <f t="shared" ref="AL29" si="397">+S29/$D29</f>
        <v>0.95626880511710444</v>
      </c>
      <c r="AM29" s="4">
        <f t="shared" ref="AM29" si="398">+T29/$D29</f>
        <v>2.396668918301605E-2</v>
      </c>
      <c r="AN29" s="4">
        <f t="shared" ref="AN29" si="399">+U29/$D29</f>
        <v>8.0122567695893026E-3</v>
      </c>
      <c r="AO29" s="4">
        <f t="shared" ref="AO29" si="400">+V29/$D29</f>
        <v>3.7685104646125664E-3</v>
      </c>
      <c r="AP29" s="4">
        <f t="shared" ref="AP29" si="401">+W29/$D29</f>
        <v>3.1526557215417893E-3</v>
      </c>
      <c r="AQ29" s="4">
        <f t="shared" ref="AQ29" si="402">+X29/$D29</f>
        <v>1.1288568983104927E-3</v>
      </c>
      <c r="AR29" s="4">
        <f t="shared" ref="AR29" si="403">+Y29/$D29</f>
        <v>0</v>
      </c>
    </row>
    <row r="30" spans="1:44" x14ac:dyDescent="0.25">
      <c r="A30">
        <f t="shared" si="360"/>
        <v>26</v>
      </c>
      <c r="B30" s="3">
        <f t="shared" si="361"/>
        <v>44313</v>
      </c>
      <c r="C30" s="41">
        <f>'[361]Part 1'!$C$18</f>
        <v>1997</v>
      </c>
      <c r="D30" s="2">
        <f>'[362]Part 1'!$C$22</f>
        <v>51335528.329999998</v>
      </c>
      <c r="E30" s="32">
        <f>'[362]Part 1'!$E$22</f>
        <v>6.2700000000000006E-2</v>
      </c>
      <c r="F30" s="8">
        <f t="shared" ref="F30" si="404">+D30/$D$4</f>
        <v>0.85559109287322221</v>
      </c>
      <c r="G30" s="2">
        <f>'[362]Parts 2 - 3'!$C$49</f>
        <v>54179.360000000001</v>
      </c>
      <c r="H30" s="8"/>
      <c r="I30" s="8"/>
      <c r="J30" s="8"/>
      <c r="K30" s="8"/>
      <c r="L30" s="8"/>
      <c r="M30" s="8"/>
      <c r="N30" s="6">
        <f t="shared" ref="N30" si="405">G30/D29</f>
        <v>1.0505762172441429E-3</v>
      </c>
      <c r="O30" s="6">
        <f t="shared" ref="O30" si="406">1-(+N30-1)^12</f>
        <v>1.2534324216335602E-2</v>
      </c>
      <c r="P30" s="20">
        <f t="shared" ref="P30" si="407">AVERAGE(O28:O30)</f>
        <v>1.6541931837214641E-2</v>
      </c>
      <c r="Q30" s="20">
        <f t="shared" ref="Q30" si="408">AVERAGE(O25:O30)</f>
        <v>1.6435874536437356E-2</v>
      </c>
      <c r="R30" s="17">
        <f t="shared" ref="R30" si="409">AVERAGE(O19:O30)</f>
        <v>1.7330094148916942E-2</v>
      </c>
      <c r="S30" s="26">
        <f>'[362]Parts 6 -9'!$C$4</f>
        <v>49128243.669999994</v>
      </c>
      <c r="T30" s="26">
        <f>'[362]Parts 6 -9'!$E$4</f>
        <v>1281083.67</v>
      </c>
      <c r="U30" s="26">
        <f>'[362]Parts 6 -9'!$F$4</f>
        <v>439238.5</v>
      </c>
      <c r="V30" s="26">
        <f>'[362]Parts 6 -9'!$G$4</f>
        <v>70880.83</v>
      </c>
      <c r="W30" s="26">
        <f>'[362]Parts 6 -9'!$H$4</f>
        <v>105703.45</v>
      </c>
      <c r="X30" s="26">
        <f>'[362]Parts 6 -9'!$J$4</f>
        <v>73941.62</v>
      </c>
      <c r="Y30" s="26">
        <f>'[363]Parts 2 - 3'!$C$18</f>
        <v>29876.77</v>
      </c>
      <c r="Z30" s="26">
        <f t="shared" ref="Z30:Z35" si="410">Z29+Y30</f>
        <v>261776.73999999996</v>
      </c>
      <c r="AA30" s="4">
        <f t="shared" ref="AA30" si="411">Z30/$D$4</f>
        <v>4.3629403329721091E-3</v>
      </c>
      <c r="AB30" s="2">
        <f>'[362]Part 11'!$V$8</f>
        <v>46030053.290000021</v>
      </c>
      <c r="AC30" s="8">
        <f t="shared" ref="AC30" si="412">+AB30/$AB$4</f>
        <v>0.83387777699275401</v>
      </c>
      <c r="AD30" s="2">
        <f t="shared" ref="AD30" si="413">AB30*$AD$2</f>
        <v>37524499.964673929</v>
      </c>
      <c r="AE30" s="2">
        <f>'[362]Part 11'!$V$9</f>
        <v>3600000</v>
      </c>
      <c r="AF30" s="8">
        <f t="shared" ref="AF30" si="414">+AE30/$AE$4</f>
        <v>1</v>
      </c>
      <c r="AG30" s="2">
        <f>'[362]Part 11'!$V$10</f>
        <v>1200000</v>
      </c>
      <c r="AH30" s="8">
        <f t="shared" ref="AH30" si="415">+AG30/$AG$4</f>
        <v>1</v>
      </c>
      <c r="AI30" s="8">
        <f t="shared" ref="AI30" si="416">+AB30/D30</f>
        <v>0.89665100929915809</v>
      </c>
      <c r="AJ30" s="2">
        <f>'[362]Parts 4 - 5 '!$C$45</f>
        <v>556601.8108783128</v>
      </c>
      <c r="AK30" s="4">
        <f t="shared" ref="AK30" si="417">((+D30+AJ30)-AB30)/D30</f>
        <v>0.11419141950181408</v>
      </c>
      <c r="AL30" s="4">
        <f t="shared" ref="AL30:AL35" si="418">+S30/$D30</f>
        <v>0.95700278672869743</v>
      </c>
      <c r="AM30" s="4">
        <f t="shared" ref="AM30" si="419">+T30/$D30</f>
        <v>2.4955108317281049E-2</v>
      </c>
      <c r="AN30" s="4">
        <f t="shared" ref="AN30" si="420">+U30/$D30</f>
        <v>8.5562282943002881E-3</v>
      </c>
      <c r="AO30" s="4">
        <f t="shared" ref="AO30" si="421">+V30/$D30</f>
        <v>1.3807363497723645E-3</v>
      </c>
      <c r="AP30" s="4">
        <f t="shared" ref="AP30" si="422">+W30/$D30</f>
        <v>2.0590700717153794E-3</v>
      </c>
      <c r="AQ30" s="4">
        <f t="shared" ref="AQ30" si="423">+X30/$D30</f>
        <v>1.4403595795231977E-3</v>
      </c>
      <c r="AR30" s="4">
        <f t="shared" ref="AR30" si="424">+Y30/$D30</f>
        <v>5.8199011429167075E-4</v>
      </c>
    </row>
    <row r="31" spans="1:44" x14ac:dyDescent="0.25">
      <c r="A31">
        <f t="shared" si="360"/>
        <v>27</v>
      </c>
      <c r="B31" s="3">
        <f t="shared" si="361"/>
        <v>44344</v>
      </c>
      <c r="C31" s="41">
        <f>'[364]Part 1'!$C$18</f>
        <v>1984</v>
      </c>
      <c r="D31" s="2">
        <f>'[365]Part 1'!$C$22</f>
        <v>50874737.710000001</v>
      </c>
      <c r="E31" s="32">
        <f>'[365]Part 1'!$E$22</f>
        <v>6.2700000000000006E-2</v>
      </c>
      <c r="F31" s="8">
        <f t="shared" ref="F31" si="425">+D31/$D$4</f>
        <v>0.84791125859515304</v>
      </c>
      <c r="G31" s="2">
        <f>'[365]Parts 2 - 3'!$C$49</f>
        <v>182678.41</v>
      </c>
      <c r="H31" s="8"/>
      <c r="I31" s="8"/>
      <c r="J31" s="8"/>
      <c r="K31" s="8"/>
      <c r="L31" s="8"/>
      <c r="M31" s="8"/>
      <c r="N31" s="6">
        <f t="shared" ref="N31" si="426">G31/D30</f>
        <v>3.5585181635940126E-3</v>
      </c>
      <c r="O31" s="6">
        <f t="shared" ref="O31" si="427">1-(+N31-1)^12</f>
        <v>4.1876291211898731E-2</v>
      </c>
      <c r="P31" s="20">
        <f t="shared" ref="P31" si="428">AVERAGE(O29:O31)</f>
        <v>2.3643090057963872E-2</v>
      </c>
      <c r="Q31" s="20">
        <f t="shared" ref="Q31" si="429">AVERAGE(O26:O31)</f>
        <v>2.0655002807782947E-2</v>
      </c>
      <c r="R31" s="17">
        <f t="shared" ref="R31" si="430">AVERAGE(O20:O31)</f>
        <v>2.0590337085515564E-2</v>
      </c>
      <c r="S31" s="26">
        <f>'[365]Parts 6 -9'!$C$4</f>
        <v>49037221.32</v>
      </c>
      <c r="T31" s="26">
        <f>'[365]Parts 6 -9'!$E$4</f>
        <v>974594.5</v>
      </c>
      <c r="U31" s="26">
        <f>'[365]Parts 6 -9'!$F$4</f>
        <v>420867.38</v>
      </c>
      <c r="V31" s="26">
        <f>'[365]Parts 6 -9'!$G$4</f>
        <v>127020.04</v>
      </c>
      <c r="W31" s="26">
        <f>'[365]Parts 6 -9'!$H$4</f>
        <v>53404.47</v>
      </c>
      <c r="X31" s="26">
        <f>'[365]Parts 6 -9'!$J$4</f>
        <v>11875.26</v>
      </c>
      <c r="Y31" s="26">
        <f>'[366]Parts 6 -9'!$O$15</f>
        <v>76432.2</v>
      </c>
      <c r="Z31" s="26">
        <f t="shared" si="410"/>
        <v>338208.93999999994</v>
      </c>
      <c r="AA31" s="4">
        <f t="shared" ref="AA31" si="431">Z31/$D$4</f>
        <v>5.6368087756679371E-3</v>
      </c>
      <c r="AB31" s="2">
        <f>'[365]Part 11'!$V$8</f>
        <v>45555774.820000023</v>
      </c>
      <c r="AC31" s="8">
        <f t="shared" ref="AC31" si="432">+AB31/$AB$4</f>
        <v>0.82528577572463813</v>
      </c>
      <c r="AD31" s="2">
        <f t="shared" ref="AD31" si="433">AB31*$AD$2</f>
        <v>37137859.90760871</v>
      </c>
      <c r="AE31" s="2">
        <f>'[365]Part 11'!$V$9</f>
        <v>3600000</v>
      </c>
      <c r="AF31" s="8">
        <f t="shared" ref="AF31" si="434">+AE31/$AE$4</f>
        <v>1</v>
      </c>
      <c r="AG31" s="2">
        <f>'[365]Part 11'!$V$10</f>
        <v>1200000</v>
      </c>
      <c r="AH31" s="8">
        <f t="shared" ref="AH31" si="435">+AG31/$AG$4</f>
        <v>1</v>
      </c>
      <c r="AI31" s="8">
        <f t="shared" ref="AI31" si="436">+AB31/D31</f>
        <v>0.89544982186798627</v>
      </c>
      <c r="AJ31" s="2">
        <f>'[365]Parts 4 - 5 '!$C$45</f>
        <v>553223.70297918771</v>
      </c>
      <c r="AK31" s="4">
        <f t="shared" ref="AK31" si="437">((+D31+AJ31)-AB31)/D31</f>
        <v>0.11542441017489352</v>
      </c>
      <c r="AL31" s="4">
        <f t="shared" si="418"/>
        <v>0.96388155550846577</v>
      </c>
      <c r="AM31" s="4">
        <f t="shared" ref="AM31" si="438">+T31/$D31</f>
        <v>1.9156747412742581E-2</v>
      </c>
      <c r="AN31" s="4">
        <f t="shared" ref="AN31" si="439">+U31/$D31</f>
        <v>8.2726201439909108E-3</v>
      </c>
      <c r="AO31" s="4">
        <f t="shared" ref="AO31" si="440">+V31/$D31</f>
        <v>2.496721274988171E-3</v>
      </c>
      <c r="AP31" s="4">
        <f t="shared" ref="AP31" si="441">+W31/$D31</f>
        <v>1.0497247239763705E-3</v>
      </c>
      <c r="AQ31" s="4">
        <f t="shared" ref="AQ31" si="442">+X31/$D31</f>
        <v>2.3342154740319741E-4</v>
      </c>
      <c r="AR31" s="4">
        <f t="shared" ref="AR31" si="443">+Y31/$D31</f>
        <v>1.5023605710890258E-3</v>
      </c>
    </row>
    <row r="32" spans="1:44" x14ac:dyDescent="0.25">
      <c r="A32">
        <f t="shared" si="360"/>
        <v>28</v>
      </c>
      <c r="B32" s="3">
        <f t="shared" si="361"/>
        <v>44375</v>
      </c>
      <c r="C32" s="41">
        <f>'[367]Part 1'!$C$18</f>
        <v>1976</v>
      </c>
      <c r="D32" s="2">
        <f>'[368]Part 1'!$C$22</f>
        <v>50625437.329999998</v>
      </c>
      <c r="E32" s="32">
        <f>'[368]Part 1'!$E$22</f>
        <v>6.2799999999999995E-2</v>
      </c>
      <c r="F32" s="8">
        <f t="shared" ref="F32" si="444">+D32/$D$4</f>
        <v>0.84375625734130866</v>
      </c>
      <c r="G32" s="2">
        <f>'[368]Parts 2 - 3'!$C$49</f>
        <v>103636.46</v>
      </c>
      <c r="H32" s="8"/>
      <c r="I32" s="8"/>
      <c r="J32" s="8"/>
      <c r="K32" s="8"/>
      <c r="L32" s="8"/>
      <c r="M32" s="8"/>
      <c r="N32" s="6">
        <f t="shared" ref="N32" si="445">G32/D31</f>
        <v>2.0370907972195617E-3</v>
      </c>
      <c r="O32" s="6">
        <f t="shared" ref="O32" si="446">1-(+N32-1)^12</f>
        <v>2.4173058048713836E-2</v>
      </c>
      <c r="P32" s="20">
        <f t="shared" ref="P32" si="447">AVERAGE(O30:O32)</f>
        <v>2.6194557825649389E-2</v>
      </c>
      <c r="Q32" s="20">
        <f t="shared" ref="Q32" si="448">AVERAGE(O27:O32)</f>
        <v>2.0988258499400187E-2</v>
      </c>
      <c r="R32" s="17">
        <f t="shared" ref="R32" si="449">AVERAGE(O21:O32)</f>
        <v>2.2604758589575048E-2</v>
      </c>
      <c r="S32" s="26">
        <f>'[368]Parts 6 -9'!$C$4</f>
        <v>48862473.82</v>
      </c>
      <c r="T32" s="26">
        <f>'[368]Parts 6 -9'!$E$4</f>
        <v>996604.23</v>
      </c>
      <c r="U32" s="26">
        <f>'[368]Parts 6 -9'!$F$4</f>
        <v>276926.58</v>
      </c>
      <c r="V32" s="26">
        <f>'[368]Parts 6 -9'!$G$4</f>
        <v>146086.82</v>
      </c>
      <c r="W32" s="26">
        <f>'[368]Parts 6 -9'!$H$4</f>
        <v>47138.62</v>
      </c>
      <c r="X32" s="26">
        <f>'[368]Parts 6 -9'!$J$4</f>
        <v>46452.52</v>
      </c>
      <c r="Y32" s="26">
        <f>'[369]Parts 2 - 3'!$C$18</f>
        <v>0</v>
      </c>
      <c r="Z32" s="26">
        <f t="shared" si="410"/>
        <v>338208.93999999994</v>
      </c>
      <c r="AA32" s="4">
        <f t="shared" ref="AA32" si="450">Z32/$D$4</f>
        <v>5.6368087756679371E-3</v>
      </c>
      <c r="AB32" s="2">
        <f>'[368]Part 11'!$V$8</f>
        <v>45306418.320000015</v>
      </c>
      <c r="AC32" s="8">
        <f t="shared" ref="AC32" si="451">+AB32/$AB$4</f>
        <v>0.82076844782608727</v>
      </c>
      <c r="AD32" s="2">
        <f t="shared" ref="AD32" si="452">AB32*$AD$2</f>
        <v>36934580.152173921</v>
      </c>
      <c r="AE32" s="2">
        <f>'[368]Part 11'!$V$9</f>
        <v>3600000</v>
      </c>
      <c r="AF32" s="8">
        <f t="shared" ref="AF32" si="453">+AE32/$AE$4</f>
        <v>1</v>
      </c>
      <c r="AG32" s="2">
        <f>'[368]Part 11'!$V$10</f>
        <v>1200000</v>
      </c>
      <c r="AH32" s="8">
        <f t="shared" ref="AH32" si="454">+AG32/$AG$4</f>
        <v>1</v>
      </c>
      <c r="AI32" s="8">
        <f t="shared" ref="AI32" si="455">+AB32/D32</f>
        <v>0.89493386545328668</v>
      </c>
      <c r="AJ32" s="2">
        <f>'[368]Parts 4 - 5 '!$C$45</f>
        <v>547523.46861787513</v>
      </c>
      <c r="AK32" s="4">
        <f t="shared" ref="AK32" si="456">((+D32+AJ32)-AB32)/D32</f>
        <v>0.11588131951092134</v>
      </c>
      <c r="AL32" s="4">
        <f t="shared" si="418"/>
        <v>0.96517633026045413</v>
      </c>
      <c r="AM32" s="4">
        <f t="shared" ref="AM32" si="457">+T32/$D32</f>
        <v>1.9685839423048794E-2</v>
      </c>
      <c r="AN32" s="4">
        <f t="shared" ref="AN32" si="458">+U32/$D32</f>
        <v>5.4701074125022286E-3</v>
      </c>
      <c r="AO32" s="4">
        <f t="shared" ref="AO32" si="459">+V32/$D32</f>
        <v>2.8856406523016997E-3</v>
      </c>
      <c r="AP32" s="4">
        <f t="shared" ref="AP32" si="460">+W32/$D32</f>
        <v>9.3112519093373344E-4</v>
      </c>
      <c r="AQ32" s="4">
        <f t="shared" ref="AQ32" si="461">+X32/$D32</f>
        <v>9.1757271541578994E-4</v>
      </c>
      <c r="AR32" s="4">
        <f t="shared" ref="AR32" si="462">+Y32/$D32</f>
        <v>0</v>
      </c>
    </row>
    <row r="33" spans="1:44" x14ac:dyDescent="0.25">
      <c r="A33">
        <f t="shared" si="360"/>
        <v>29</v>
      </c>
      <c r="B33" s="3">
        <f t="shared" si="361"/>
        <v>44406</v>
      </c>
      <c r="C33" s="41">
        <f>'[370]Part 1'!$C$18</f>
        <v>1966</v>
      </c>
      <c r="D33" s="2">
        <f>'[371]Part 1'!$C$22</f>
        <v>50289540.07</v>
      </c>
      <c r="E33" s="32">
        <f>'[371]Part 1'!$E$22</f>
        <v>6.2700000000000006E-2</v>
      </c>
      <c r="F33" s="8">
        <f t="shared" ref="F33:F38" si="463">+D33/$D$4</f>
        <v>0.8381579765185404</v>
      </c>
      <c r="G33" s="2">
        <f>'[371]Parts 2 - 3'!$C$49</f>
        <v>197750.52</v>
      </c>
      <c r="H33" s="8"/>
      <c r="I33" s="8"/>
      <c r="J33" s="8"/>
      <c r="K33" s="8"/>
      <c r="L33" s="8"/>
      <c r="M33" s="8"/>
      <c r="N33" s="6">
        <f t="shared" ref="N33" si="464">G33/D32</f>
        <v>3.9061493673816722E-3</v>
      </c>
      <c r="O33" s="6">
        <f t="shared" ref="O33" si="465">1-(+N33-1)^12</f>
        <v>4.5879761704569089E-2</v>
      </c>
      <c r="P33" s="20">
        <f t="shared" ref="P33" si="466">AVERAGE(O31:O33)</f>
        <v>3.7309703655060554E-2</v>
      </c>
      <c r="Q33" s="20">
        <f t="shared" ref="Q33" si="467">AVERAGE(O28:O33)</f>
        <v>2.6925817746137597E-2</v>
      </c>
      <c r="R33" s="17">
        <f t="shared" ref="R33" si="468">AVERAGE(O22:O33)</f>
        <v>2.3255836659201463E-2</v>
      </c>
      <c r="S33" s="26">
        <f>'[371]Parts 6 -9'!$C$4</f>
        <v>48574001.950000003</v>
      </c>
      <c r="T33" s="26">
        <f>'[371]Parts 6 -9'!$E$4</f>
        <v>892809.23</v>
      </c>
      <c r="U33" s="26">
        <f>'[371]Parts 6 -9'!$F$4</f>
        <v>338184.84</v>
      </c>
      <c r="V33" s="26">
        <f>'[371]Parts 6 -9'!$G$4</f>
        <v>134986.51</v>
      </c>
      <c r="W33" s="26">
        <f>'[371]Parts 6 -9'!$H$4</f>
        <v>105883.52</v>
      </c>
      <c r="X33" s="26">
        <f>'[371]Parts 6 -9'!$J$4</f>
        <v>11837.19</v>
      </c>
      <c r="Y33" s="26">
        <f>'[372]Parts 2 - 3'!$C$18</f>
        <v>0</v>
      </c>
      <c r="Z33" s="26">
        <f t="shared" si="410"/>
        <v>338208.93999999994</v>
      </c>
      <c r="AA33" s="4">
        <f t="shared" ref="AA33" si="469">Z33/$D$4</f>
        <v>5.6368087756679371E-3</v>
      </c>
      <c r="AB33" s="2">
        <f>'[371]Part 11'!$V$8</f>
        <v>44948965.880000018</v>
      </c>
      <c r="AC33" s="8">
        <f t="shared" ref="AC33" si="470">+AB33/$AB$4</f>
        <v>0.81429286014492785</v>
      </c>
      <c r="AD33" s="2">
        <f t="shared" ref="AD33" si="471">AB33*$AD$2</f>
        <v>36643178.706521749</v>
      </c>
      <c r="AE33" s="2">
        <f>'[371]Part 11'!$V$9</f>
        <v>3600000</v>
      </c>
      <c r="AF33" s="8">
        <f t="shared" ref="AF33" si="472">+AE33/$AE$4</f>
        <v>1</v>
      </c>
      <c r="AG33" s="2">
        <f>'[371]Part 11'!$V$10</f>
        <v>1200000</v>
      </c>
      <c r="AH33" s="8">
        <f t="shared" ref="AH33" si="473">+AG33/$AG$4</f>
        <v>1</v>
      </c>
      <c r="AI33" s="8">
        <f t="shared" ref="AI33" si="474">+AB33/D33</f>
        <v>0.89380347916154679</v>
      </c>
      <c r="AJ33" s="2">
        <f>'[371]Parts 4 - 5 '!$C$45</f>
        <v>544526.51518350013</v>
      </c>
      <c r="AK33" s="4">
        <f t="shared" ref="AK33" si="475">((+D33+AJ33)-AB33)/D33</f>
        <v>0.11702434933769089</v>
      </c>
      <c r="AL33" s="4">
        <f t="shared" si="418"/>
        <v>0.96588678047935872</v>
      </c>
      <c r="AM33" s="4">
        <f t="shared" ref="AM33" si="476">+T33/$D33</f>
        <v>1.7753378312016049E-2</v>
      </c>
      <c r="AN33" s="4">
        <f t="shared" ref="AN33" si="477">+U33/$D33</f>
        <v>6.7247550788745968E-3</v>
      </c>
      <c r="AO33" s="4">
        <f t="shared" ref="AO33" si="478">+V33/$D33</f>
        <v>2.6841866084300423E-3</v>
      </c>
      <c r="AP33" s="4">
        <f t="shared" ref="AP33" si="479">+W33/$D33</f>
        <v>2.1054779950784308E-3</v>
      </c>
      <c r="AQ33" s="4">
        <f t="shared" ref="AQ33" si="480">+X33/$D33</f>
        <v>2.3538075678408168E-4</v>
      </c>
      <c r="AR33" s="4">
        <f t="shared" ref="AR33" si="481">+Y33/$D33</f>
        <v>0</v>
      </c>
    </row>
    <row r="34" spans="1:44" x14ac:dyDescent="0.25">
      <c r="A34">
        <f t="shared" si="360"/>
        <v>30</v>
      </c>
      <c r="B34" s="3">
        <f t="shared" si="361"/>
        <v>44437</v>
      </c>
      <c r="C34" s="41">
        <f>'[373]Part 1'!$C$18</f>
        <v>1959</v>
      </c>
      <c r="D34" s="2">
        <f>'[374]Part 1'!$C$22</f>
        <v>50028229.630000003</v>
      </c>
      <c r="E34" s="32">
        <f>'[374]Part 1'!$E$22</f>
        <v>6.2799999999999995E-2</v>
      </c>
      <c r="F34" s="8">
        <f t="shared" si="463"/>
        <v>0.83380280784273408</v>
      </c>
      <c r="G34" s="2">
        <f>'[374]Parts 2 - 3'!$C$49</f>
        <v>106359.61</v>
      </c>
      <c r="H34" s="8"/>
      <c r="I34" s="8"/>
      <c r="J34" s="8"/>
      <c r="K34" s="8"/>
      <c r="L34" s="8"/>
      <c r="M34" s="8"/>
      <c r="N34" s="6">
        <f t="shared" ref="N34" si="482">G34/D33</f>
        <v>2.1149449736854592E-3</v>
      </c>
      <c r="O34" s="6">
        <f t="shared" ref="O34" si="483">1-(+N34-1)^12</f>
        <v>2.5086193555052927E-2</v>
      </c>
      <c r="P34" s="20">
        <f t="shared" ref="P34" si="484">AVERAGE(O32:O34)</f>
        <v>3.1713004436111948E-2</v>
      </c>
      <c r="Q34" s="20">
        <f t="shared" ref="Q34" si="485">AVERAGE(O29:O34)</f>
        <v>2.7678047247037912E-2</v>
      </c>
      <c r="R34" s="17">
        <f t="shared" ref="R34" si="486">AVERAGE(O23:O34)</f>
        <v>2.2143137081234932E-2</v>
      </c>
      <c r="S34" s="26">
        <f>'[374]Parts 6 -9'!$C$4</f>
        <v>47186290.370000005</v>
      </c>
      <c r="T34" s="26">
        <f>'[374]Parts 6 -9'!$E$4</f>
        <v>1652475.31</v>
      </c>
      <c r="U34" s="26">
        <f>'[374]Parts 6 -9'!$F$4</f>
        <v>520390.96</v>
      </c>
      <c r="V34" s="26">
        <f>'[374]Parts 6 -9'!$G$4</f>
        <v>306037.34000000003</v>
      </c>
      <c r="W34" s="26">
        <f>'[374]Parts 6 -9'!$H$4</f>
        <v>82757.05</v>
      </c>
      <c r="X34" s="26">
        <f>'[374]Parts 6 -9'!$J$4</f>
        <v>48441.77</v>
      </c>
      <c r="Y34" s="26">
        <f>'[375]Parts 2 - 3'!$C$18</f>
        <v>0</v>
      </c>
      <c r="Z34" s="26">
        <f t="shared" si="410"/>
        <v>338208.93999999994</v>
      </c>
      <c r="AA34" s="4">
        <f t="shared" ref="AA34" si="487">Z34/$D$4</f>
        <v>5.6368087756679371E-3</v>
      </c>
      <c r="AB34" s="2">
        <f>'[374]Part 11'!$V$8</f>
        <v>44687401.940000013</v>
      </c>
      <c r="AC34" s="8">
        <f t="shared" ref="AC34" si="488">+AB34/$AB$4</f>
        <v>0.80955438297101467</v>
      </c>
      <c r="AD34" s="2">
        <f t="shared" ref="AD34" si="489">AB34*$AD$2</f>
        <v>36429947.233695664</v>
      </c>
      <c r="AE34" s="2">
        <f>'[374]Part 11'!$V$9</f>
        <v>3600000</v>
      </c>
      <c r="AF34" s="8">
        <f t="shared" ref="AF34" si="490">+AE34/$AE$4</f>
        <v>1</v>
      </c>
      <c r="AG34" s="2">
        <f>'[374]Part 11'!$V$10</f>
        <v>1200000</v>
      </c>
      <c r="AH34" s="8">
        <f t="shared" ref="AH34" si="491">+AG34/$AG$4</f>
        <v>1</v>
      </c>
      <c r="AI34" s="8">
        <f t="shared" ref="AI34" si="492">+AB34/D34</f>
        <v>0.89324372000568852</v>
      </c>
      <c r="AJ34" s="2">
        <f>'[374]Parts 4 - 5 '!$C$45</f>
        <v>540230.38367025007</v>
      </c>
      <c r="AK34" s="4">
        <f t="shared" ref="AK34" si="493">((+D34+AJ34)-AB34)/D34</f>
        <v>0.11755479090836335</v>
      </c>
      <c r="AL34" s="4">
        <f t="shared" si="418"/>
        <v>0.94319328744953634</v>
      </c>
      <c r="AM34" s="4">
        <f t="shared" ref="AM34" si="494">+T34/$D34</f>
        <v>3.3030857222440556E-2</v>
      </c>
      <c r="AN34" s="4">
        <f t="shared" ref="AN34" si="495">+U34/$D34</f>
        <v>1.0401946338071927E-2</v>
      </c>
      <c r="AO34" s="4">
        <f t="shared" ref="AO34" si="496">+V34/$D34</f>
        <v>6.1172930216279574E-3</v>
      </c>
      <c r="AP34" s="4">
        <f t="shared" ref="AP34" si="497">+W34/$D34</f>
        <v>1.6542070469424284E-3</v>
      </c>
      <c r="AQ34" s="4">
        <f t="shared" ref="AQ34" si="498">+X34/$D34</f>
        <v>9.6828871135890308E-4</v>
      </c>
      <c r="AR34" s="4">
        <f t="shared" ref="AR34" si="499">+Y34/$D34</f>
        <v>0</v>
      </c>
    </row>
    <row r="35" spans="1:44" x14ac:dyDescent="0.25">
      <c r="A35">
        <f t="shared" si="360"/>
        <v>31</v>
      </c>
      <c r="B35" s="3">
        <f t="shared" si="361"/>
        <v>44468</v>
      </c>
      <c r="C35" s="41">
        <f>'[376]Part 1'!$C$18</f>
        <v>1952</v>
      </c>
      <c r="D35" s="2">
        <f>'[377]Part 1'!$C$22</f>
        <v>49797226.25</v>
      </c>
      <c r="E35" s="32">
        <f>'[377]Part 1'!$E$22</f>
        <v>6.2799999999999995E-2</v>
      </c>
      <c r="F35" s="8">
        <f t="shared" si="463"/>
        <v>0.82995275621608888</v>
      </c>
      <c r="G35" s="2">
        <f>'[377]Parts 2 - 3'!$C$49</f>
        <v>82642.880000000005</v>
      </c>
      <c r="H35" s="8"/>
      <c r="I35" s="8"/>
      <c r="J35" s="8"/>
      <c r="K35" s="8"/>
      <c r="L35" s="8"/>
      <c r="M35" s="8"/>
      <c r="N35" s="6">
        <f t="shared" ref="N35" si="500">G35/D34</f>
        <v>1.6519249354057144E-3</v>
      </c>
      <c r="O35" s="6">
        <f t="shared" ref="O35" si="501">1-(+N35-1)^12</f>
        <v>1.9643982783368541E-2</v>
      </c>
      <c r="P35" s="20">
        <f t="shared" ref="P35" si="502">AVERAGE(O33:O35)</f>
        <v>3.0203312680996852E-2</v>
      </c>
      <c r="Q35" s="20">
        <f t="shared" ref="Q35" si="503">AVERAGE(O30:O35)</f>
        <v>2.8198935253323121E-2</v>
      </c>
      <c r="R35" s="17">
        <f t="shared" ref="R35" si="504">AVERAGE(O24:O35)</f>
        <v>2.2646154467660929E-2</v>
      </c>
      <c r="S35" s="26">
        <f>'[377]Parts 6 -9'!$C$4</f>
        <v>46441606.100000001</v>
      </c>
      <c r="T35" s="26">
        <f>'[377]Parts 6 -9'!$E$4</f>
        <v>1974618.15</v>
      </c>
      <c r="U35" s="26">
        <f>'[377]Parts 6 -9'!$F$4</f>
        <v>854668.89</v>
      </c>
      <c r="V35" s="26">
        <f>'[377]Parts 6 -9'!$G$4</f>
        <v>161398.19</v>
      </c>
      <c r="W35" s="26">
        <f>'[377]Parts 6 -9'!$H$4</f>
        <v>79090.5</v>
      </c>
      <c r="X35" s="26">
        <f>'[377]Parts 6 -9'!$J$4</f>
        <v>29899.84</v>
      </c>
      <c r="Y35" s="26">
        <f>'[378]Parts 6 -9'!$P$14</f>
        <v>27468.23</v>
      </c>
      <c r="Z35" s="26">
        <f t="shared" si="410"/>
        <v>365677.16999999993</v>
      </c>
      <c r="AA35" s="4">
        <f t="shared" ref="AA35" si="505">Z35/$D$4</f>
        <v>6.0946120493367683E-3</v>
      </c>
      <c r="AB35" s="2">
        <f>'[377]Part 11'!$V$8</f>
        <v>44456349.580000013</v>
      </c>
      <c r="AC35" s="8">
        <f t="shared" ref="AC35" si="506">+AB35/$AB$4</f>
        <v>0.80536865181159445</v>
      </c>
      <c r="AD35" s="2">
        <f t="shared" ref="AD35" si="507">AB35*$AD$2</f>
        <v>36241589.331521749</v>
      </c>
      <c r="AE35" s="2">
        <f>'[377]Part 11'!$V$9</f>
        <v>3600000</v>
      </c>
      <c r="AF35" s="8">
        <f t="shared" ref="AF35" si="508">+AE35/$AE$4</f>
        <v>1</v>
      </c>
      <c r="AG35" s="2">
        <f>'[377]Part 11'!$V$10</f>
        <v>1200000</v>
      </c>
      <c r="AH35" s="8">
        <f t="shared" ref="AH35" si="509">+AG35/$AG$4</f>
        <v>1</v>
      </c>
      <c r="AI35" s="8">
        <f t="shared" ref="AI35" si="510">+AB35/D35</f>
        <v>0.89274750679512016</v>
      </c>
      <c r="AJ35" s="2">
        <f>'[377]Parts 4 - 5 '!$C$45</f>
        <v>537086.71206637518</v>
      </c>
      <c r="AK35" s="4">
        <f t="shared" ref="AK35" si="511">((+D35+AJ35)-AB35)/D35</f>
        <v>0.11803796766825665</v>
      </c>
      <c r="AL35" s="4">
        <f t="shared" si="418"/>
        <v>0.93261431604335598</v>
      </c>
      <c r="AM35" s="4">
        <f t="shared" ref="AM35" si="512">+T35/$D35</f>
        <v>3.9653175461755764E-2</v>
      </c>
      <c r="AN35" s="4">
        <f t="shared" ref="AN35" si="513">+U35/$D35</f>
        <v>1.7162981843792956E-2</v>
      </c>
      <c r="AO35" s="4">
        <f t="shared" ref="AO35" si="514">+V35/$D35</f>
        <v>3.2411080325985024E-3</v>
      </c>
      <c r="AP35" s="4">
        <f t="shared" ref="AP35" si="515">+W35/$D35</f>
        <v>1.5882511126812009E-3</v>
      </c>
      <c r="AQ35" s="4">
        <f t="shared" ref="AQ35" si="516">+X35/$D35</f>
        <v>6.004318363013241E-4</v>
      </c>
      <c r="AR35" s="4">
        <f t="shared" ref="AR35" si="517">+Y35/$D35</f>
        <v>5.5160160652522282E-4</v>
      </c>
    </row>
    <row r="36" spans="1:44" x14ac:dyDescent="0.25">
      <c r="A36">
        <f t="shared" si="360"/>
        <v>32</v>
      </c>
      <c r="B36" s="3">
        <f t="shared" si="361"/>
        <v>44499</v>
      </c>
      <c r="C36" s="41">
        <f>'[379]Part 1'!$C$18</f>
        <v>1940</v>
      </c>
      <c r="D36" s="2">
        <f>'[380]Part 1'!$C$22</f>
        <v>49542601.909999996</v>
      </c>
      <c r="E36" s="32">
        <f>'[380]Part 1'!$E$22</f>
        <v>6.2799999999999995E-2</v>
      </c>
      <c r="F36" s="8">
        <f t="shared" si="463"/>
        <v>0.82570902240405342</v>
      </c>
      <c r="G36" s="2">
        <f>'[380]Parts 2 - 3'!$C$49</f>
        <v>122360.1</v>
      </c>
      <c r="H36" s="8"/>
      <c r="I36" s="8"/>
      <c r="J36" s="8"/>
      <c r="K36" s="8"/>
      <c r="L36" s="8"/>
      <c r="M36" s="8"/>
      <c r="N36" s="6">
        <f t="shared" ref="N36" si="518">G36/D35</f>
        <v>2.4571669792551949E-3</v>
      </c>
      <c r="O36" s="6">
        <f t="shared" ref="O36" si="519">1-(+N36-1)^12</f>
        <v>2.9090763409823861E-2</v>
      </c>
      <c r="P36" s="20">
        <f t="shared" ref="P36" si="520">AVERAGE(O34:O36)</f>
        <v>2.4606979916081777E-2</v>
      </c>
      <c r="Q36" s="20">
        <f t="shared" ref="Q36" si="521">AVERAGE(O31:O36)</f>
        <v>3.0958341785571164E-2</v>
      </c>
      <c r="R36" s="17">
        <f t="shared" ref="R36" si="522">AVERAGE(O25:O36)</f>
        <v>2.369710816100426E-2</v>
      </c>
      <c r="S36" s="26">
        <f>'[380]Parts 6 -9'!$C$4</f>
        <v>46090664.650000006</v>
      </c>
      <c r="T36" s="26">
        <f>'[380]Parts 6 -9'!$E$4</f>
        <v>1568639.09</v>
      </c>
      <c r="U36" s="26">
        <f>'[380]Parts 6 -9'!$F$4</f>
        <v>1223479.8799999999</v>
      </c>
      <c r="V36" s="26">
        <f>'[380]Parts 6 -9'!$G$4</f>
        <v>309850.06</v>
      </c>
      <c r="W36" s="26">
        <f>'[380]Parts 6 -9'!$H$4</f>
        <v>80568.61</v>
      </c>
      <c r="X36" s="26">
        <f>'[380]Parts 6 -9'!$J$4</f>
        <v>13455.04</v>
      </c>
      <c r="Y36" s="26">
        <f>'[381]Parts 6 -9'!$P$14</f>
        <v>0</v>
      </c>
      <c r="Z36" s="26">
        <f t="shared" ref="Z36" si="523">Z35+Y36</f>
        <v>365677.16999999993</v>
      </c>
      <c r="AA36" s="4">
        <f t="shared" ref="AA36" si="524">Z36/$D$4</f>
        <v>6.0946120493367683E-3</v>
      </c>
      <c r="AB36" s="2">
        <f>'[380]Part 11'!$V$8</f>
        <v>44155679.280000016</v>
      </c>
      <c r="AC36" s="8">
        <f t="shared" ref="AC36" si="525">+AB36/$AB$4</f>
        <v>0.79992172608695677</v>
      </c>
      <c r="AD36" s="2">
        <f t="shared" ref="AD36" si="526">AB36*$AD$2</f>
        <v>35996477.673913054</v>
      </c>
      <c r="AE36" s="2">
        <f>'[380]Part 11'!$V$9</f>
        <v>3600000</v>
      </c>
      <c r="AF36" s="8">
        <f t="shared" ref="AF36" si="527">+AE36/$AE$4</f>
        <v>1</v>
      </c>
      <c r="AG36" s="2">
        <f>'[380]Part 11'!$V$10</f>
        <v>1200000</v>
      </c>
      <c r="AH36" s="8">
        <f t="shared" ref="AH36" si="528">+AG36/$AG$4</f>
        <v>1</v>
      </c>
      <c r="AI36" s="8">
        <f t="shared" ref="AI36" si="529">+AB36/D36</f>
        <v>0.89126686079616968</v>
      </c>
      <c r="AJ36" s="2">
        <f>'[380]Parts 4 - 5 '!$C$45</f>
        <v>534309.75151462515</v>
      </c>
      <c r="AK36" s="4">
        <f t="shared" ref="AK36" si="530">((+D36+AJ36)-AB36)/D36</f>
        <v>0.11951799367080536</v>
      </c>
      <c r="AL36" s="4">
        <f t="shared" ref="AL36" si="531">+S36/$D36</f>
        <v>0.93032386013413582</v>
      </c>
      <c r="AM36" s="4">
        <f t="shared" ref="AM36" si="532">+T36/$D36</f>
        <v>3.1662428486287794E-2</v>
      </c>
      <c r="AN36" s="4">
        <f t="shared" ref="AN36" si="533">+U36/$D36</f>
        <v>2.4695511193025266E-2</v>
      </c>
      <c r="AO36" s="4">
        <f t="shared" ref="AO36" si="534">+V36/$D36</f>
        <v>6.254214515476586E-3</v>
      </c>
      <c r="AP36" s="4">
        <f t="shared" ref="AP36" si="535">+W36/$D36</f>
        <v>1.6262490643176638E-3</v>
      </c>
      <c r="AQ36" s="4">
        <f t="shared" ref="AQ36" si="536">+X36/$D36</f>
        <v>2.7158525150622234E-4</v>
      </c>
      <c r="AR36" s="4">
        <f t="shared" ref="AR36" si="537">+Y36/$D36</f>
        <v>0</v>
      </c>
    </row>
    <row r="37" spans="1:44" x14ac:dyDescent="0.25">
      <c r="A37">
        <f t="shared" si="360"/>
        <v>33</v>
      </c>
      <c r="B37" s="3">
        <f t="shared" si="361"/>
        <v>44530</v>
      </c>
      <c r="C37" s="41">
        <f>'[382]Part 1'!$C$18</f>
        <v>1940</v>
      </c>
      <c r="D37" s="2">
        <f>'[383]Part 1'!$C$22</f>
        <v>49330237.759999998</v>
      </c>
      <c r="E37" s="32">
        <f>'[383]Part 1'!$E$22</f>
        <v>6.2799999999999995E-2</v>
      </c>
      <c r="F37" s="8">
        <f t="shared" si="463"/>
        <v>0.82216962423096762</v>
      </c>
      <c r="G37" s="2">
        <f>'[383]Parts 2 - 3'!$C$49</f>
        <v>74675.490000000005</v>
      </c>
      <c r="H37" s="8"/>
      <c r="I37" s="8"/>
      <c r="J37" s="8"/>
      <c r="K37" s="8"/>
      <c r="L37" s="8"/>
      <c r="M37" s="8"/>
      <c r="N37" s="6">
        <f t="shared" ref="N37" si="538">G37/D36</f>
        <v>1.5072985091832052E-3</v>
      </c>
      <c r="O37" s="6">
        <f t="shared" ref="O37" si="539">1-(+N37-1)^12</f>
        <v>1.7938384331868007E-2</v>
      </c>
      <c r="P37" s="20">
        <f t="shared" ref="P37" si="540">AVERAGE(O35:O37)</f>
        <v>2.2224376841686804E-2</v>
      </c>
      <c r="Q37" s="20">
        <f t="shared" ref="Q37" si="541">AVERAGE(O32:O37)</f>
        <v>2.6968690638899378E-2</v>
      </c>
      <c r="R37" s="17">
        <f t="shared" ref="R37" si="542">AVERAGE(O26:O37)</f>
        <v>2.3811846723341162E-2</v>
      </c>
      <c r="S37" s="26">
        <f>'[383]Parts 6 -9'!$C$4</f>
        <v>45663276.540000007</v>
      </c>
      <c r="T37" s="26">
        <f>'[383]Parts 6 -9'!$E$4</f>
        <v>1640957.99</v>
      </c>
      <c r="U37" s="26">
        <f>'[383]Parts 6 -9'!$F$4</f>
        <v>1189554.18</v>
      </c>
      <c r="V37" s="26">
        <f>'[383]Parts 6 -9'!$G$4</f>
        <v>384743.64</v>
      </c>
      <c r="W37" s="26">
        <f>'[383]Parts 6 -9'!$H$4</f>
        <v>161900.63</v>
      </c>
      <c r="X37" s="26">
        <f>'[383]Parts 6 -9'!$J$4</f>
        <v>20405.16</v>
      </c>
      <c r="Y37" s="26">
        <f>'[384]Parts 6 -9'!$P$14</f>
        <v>0</v>
      </c>
      <c r="Z37" s="26">
        <f t="shared" ref="Z37" si="543">Z36+Y37</f>
        <v>365677.16999999993</v>
      </c>
      <c r="AA37" s="4">
        <f t="shared" ref="AA37" si="544">Z37/$D$4</f>
        <v>6.0946120493367683E-3</v>
      </c>
      <c r="AB37" s="2">
        <f>'[383]Part 11'!$V$8</f>
        <v>43929860.090000011</v>
      </c>
      <c r="AC37" s="8">
        <f t="shared" ref="AC37" si="545">+AB37/$AB$4</f>
        <v>0.79583079873188423</v>
      </c>
      <c r="AD37" s="2">
        <f t="shared" ref="AD37" si="546">AB37*$AD$2</f>
        <v>35812385.942934789</v>
      </c>
      <c r="AE37" s="2">
        <f>'[383]Part 11'!$V$9</f>
        <v>3600000</v>
      </c>
      <c r="AF37" s="8">
        <f t="shared" ref="AF37" si="547">+AE37/$AE$4</f>
        <v>1</v>
      </c>
      <c r="AG37" s="2">
        <f>'[383]Part 11'!$V$10</f>
        <v>1200000</v>
      </c>
      <c r="AH37" s="8">
        <f t="shared" ref="AH37" si="548">+AG37/$AG$4</f>
        <v>1</v>
      </c>
      <c r="AI37" s="8">
        <f t="shared" ref="AI37" si="549">+AB37/D37</f>
        <v>0.89052601578217105</v>
      </c>
      <c r="AJ37" s="2">
        <f>'[383]Parts 4 - 5 '!$C$45</f>
        <v>530696.07034650026</v>
      </c>
      <c r="AK37" s="4">
        <f t="shared" ref="AK37" si="550">((+D37+AJ37)-AB37)/D37</f>
        <v>0.12023201204101563</v>
      </c>
      <c r="AL37" s="4">
        <f t="shared" ref="AL37" si="551">+S37/$D37</f>
        <v>0.92566504062193289</v>
      </c>
      <c r="AM37" s="4">
        <f t="shared" ref="AM37" si="552">+T37/$D37</f>
        <v>3.326474925954219E-2</v>
      </c>
      <c r="AN37" s="4">
        <f t="shared" ref="AN37" si="553">+U37/$D37</f>
        <v>2.4114097843748159E-2</v>
      </c>
      <c r="AO37" s="4">
        <f t="shared" ref="AO37" si="554">+V37/$D37</f>
        <v>7.799346961833902E-3</v>
      </c>
      <c r="AP37" s="4">
        <f t="shared" ref="AP37" si="555">+W37/$D37</f>
        <v>3.2819754647782995E-3</v>
      </c>
      <c r="AQ37" s="4">
        <f t="shared" ref="AQ37" si="556">+X37/$D37</f>
        <v>4.1364406349052231E-4</v>
      </c>
      <c r="AR37" s="4">
        <f t="shared" ref="AR37" si="557">+Y37/$D37</f>
        <v>0</v>
      </c>
    </row>
    <row r="38" spans="1:44" x14ac:dyDescent="0.25">
      <c r="A38">
        <f t="shared" si="360"/>
        <v>34</v>
      </c>
      <c r="B38" s="3">
        <f t="shared" si="361"/>
        <v>44561</v>
      </c>
      <c r="C38" s="41">
        <f>'[385]Part 1'!$C$18</f>
        <v>1928</v>
      </c>
      <c r="D38" s="2">
        <f>'[386]Part 1'!$C$22</f>
        <v>49001970.939999998</v>
      </c>
      <c r="E38" s="32">
        <f>'[386]Part 1'!$E$22</f>
        <v>6.2899999999999998E-2</v>
      </c>
      <c r="F38" s="8">
        <f t="shared" si="463"/>
        <v>0.81669851725272924</v>
      </c>
      <c r="G38" s="2">
        <f>'[386]Parts 2 - 3'!$C$49</f>
        <v>203797.79</v>
      </c>
      <c r="H38" s="8"/>
      <c r="I38" s="8"/>
      <c r="J38" s="8"/>
      <c r="K38" s="8"/>
      <c r="L38" s="8"/>
      <c r="M38" s="8"/>
      <c r="N38" s="6">
        <f t="shared" ref="N38" si="558">G38/D37</f>
        <v>4.1312955147613708E-3</v>
      </c>
      <c r="O38" s="6">
        <f t="shared" ref="O38" si="559">1-(+N38-1)^12</f>
        <v>4.846445364532681E-2</v>
      </c>
      <c r="P38" s="20">
        <f t="shared" ref="P38" si="560">AVERAGE(O36:O38)</f>
        <v>3.1831200462339559E-2</v>
      </c>
      <c r="Q38" s="20">
        <f t="shared" ref="Q38" si="561">AVERAGE(O33:O38)</f>
        <v>3.1017256571668206E-2</v>
      </c>
      <c r="R38" s="17">
        <f t="shared" ref="R38" si="562">AVERAGE(O27:O38)</f>
        <v>2.6002757535534198E-2</v>
      </c>
      <c r="S38" s="26">
        <f>'[386]Parts 6 -9'!$C$4</f>
        <v>45138758.919999994</v>
      </c>
      <c r="T38" s="26">
        <f>'[386]Parts 6 -9'!$E$4</f>
        <v>1477036.63</v>
      </c>
      <c r="U38" s="26">
        <f>'[386]Parts 6 -9'!$F$4</f>
        <v>1238849.26</v>
      </c>
      <c r="V38" s="26">
        <f>'[386]Parts 6 -9'!$G$4</f>
        <v>566474.68000000005</v>
      </c>
      <c r="W38" s="26">
        <f>'[386]Parts 6 -9'!$H$4</f>
        <v>179360.5</v>
      </c>
      <c r="X38" s="26">
        <f>'[386]Parts 6 -9'!$J$4</f>
        <v>140089.82999999999</v>
      </c>
      <c r="Y38" s="26">
        <f>'[387]Parts 6 -9'!$P$14</f>
        <v>22608.91</v>
      </c>
      <c r="Z38" s="26">
        <f t="shared" ref="Z38" si="563">Z37+Y38</f>
        <v>388286.0799999999</v>
      </c>
      <c r="AA38" s="4">
        <f t="shared" ref="AA38" si="564">Z38/$D$4</f>
        <v>6.4714267553474562E-3</v>
      </c>
      <c r="AB38" s="2">
        <f>'[386]Part 11'!$V$8</f>
        <v>43587621.06000001</v>
      </c>
      <c r="AC38" s="8">
        <f t="shared" ref="AC38" si="565">+AB38/$AB$4</f>
        <v>0.78963081630434795</v>
      </c>
      <c r="AD38" s="2">
        <f t="shared" ref="AD38" si="566">AB38*$AD$2</f>
        <v>35533386.733695656</v>
      </c>
      <c r="AE38" s="2">
        <f>'[386]Part 11'!$V$9</f>
        <v>3600000</v>
      </c>
      <c r="AF38" s="8">
        <f t="shared" ref="AF38" si="567">+AE38/$AE$4</f>
        <v>1</v>
      </c>
      <c r="AG38" s="2">
        <f>'[386]Part 11'!$V$10</f>
        <v>1200000</v>
      </c>
      <c r="AH38" s="8">
        <f t="shared" ref="AH38" si="568">+AG38/$AG$4</f>
        <v>1</v>
      </c>
      <c r="AI38" s="8">
        <f t="shared" ref="AI38" si="569">+AB38/D38</f>
        <v>0.88950750804228795</v>
      </c>
      <c r="AJ38" s="2">
        <f>'[386]Parts 4 - 5 '!$C$45</f>
        <v>530696.07034650026</v>
      </c>
      <c r="AK38" s="4">
        <f t="shared" ref="AK38" si="570">((+D38+AJ38)-AB38)/D38</f>
        <v>0.12132258838375788</v>
      </c>
      <c r="AL38" s="4">
        <f t="shared" ref="AL38" si="571">+S38/$D38</f>
        <v>0.9211621094847332</v>
      </c>
      <c r="AM38" s="4">
        <f t="shared" ref="AM38" si="572">+T38/$D38</f>
        <v>3.0142392268436374E-2</v>
      </c>
      <c r="AN38" s="4">
        <f t="shared" ref="AN38" si="573">+U38/$D38</f>
        <v>2.5281621049832819E-2</v>
      </c>
      <c r="AO38" s="4">
        <f t="shared" ref="AO38" si="574">+V38/$D38</f>
        <v>1.1560242764390327E-2</v>
      </c>
      <c r="AP38" s="4">
        <f t="shared" ref="AP38" si="575">+W38/$D38</f>
        <v>3.6602711392898111E-3</v>
      </c>
      <c r="AQ38" s="4">
        <f t="shared" ref="AQ38" si="576">+X38/$D38</f>
        <v>2.8588611297192855E-3</v>
      </c>
      <c r="AR38" s="4">
        <f t="shared" ref="AR38" si="577">+Y38/$D38</f>
        <v>4.6138776800801065E-4</v>
      </c>
    </row>
    <row r="39" spans="1:44" x14ac:dyDescent="0.25">
      <c r="A39">
        <f t="shared" si="360"/>
        <v>35</v>
      </c>
      <c r="B39" s="3">
        <f t="shared" si="361"/>
        <v>44592</v>
      </c>
      <c r="C39" s="41">
        <f>'[388]Part 1'!$C$18</f>
        <v>1928</v>
      </c>
      <c r="D39" s="2">
        <f>'[388]Part 1'!$C$22</f>
        <v>48742255.270000003</v>
      </c>
      <c r="E39" s="32">
        <f>'[388]Part 1'!$E$22</f>
        <v>6.2899999999999998E-2</v>
      </c>
      <c r="F39" s="8">
        <f t="shared" ref="F39" si="578">+D39/$D$4</f>
        <v>0.81236992804442965</v>
      </c>
      <c r="G39" s="2">
        <f>'[388]Parts 2 - 3'!$C$49</f>
        <v>113874.8</v>
      </c>
      <c r="H39" s="8"/>
      <c r="I39" s="8"/>
      <c r="J39" s="8"/>
      <c r="K39" s="8"/>
      <c r="L39" s="8"/>
      <c r="M39" s="8"/>
      <c r="N39" s="6">
        <f t="shared" ref="N39" si="579">G39/D38</f>
        <v>2.3238820360804045E-3</v>
      </c>
      <c r="O39" s="6">
        <f t="shared" ref="O39" si="580">1-(+N39-1)^12</f>
        <v>2.753290281117915E-2</v>
      </c>
      <c r="P39" s="20">
        <f t="shared" ref="P39" si="581">AVERAGE(O37:O39)</f>
        <v>3.1311913596124653E-2</v>
      </c>
      <c r="Q39" s="20">
        <f t="shared" ref="Q39" si="582">AVERAGE(O34:O39)</f>
        <v>2.7959446756103217E-2</v>
      </c>
      <c r="R39" s="17">
        <f t="shared" ref="R39" si="583">AVERAGE(O28:O39)</f>
        <v>2.7442632251120407E-2</v>
      </c>
      <c r="S39" s="26">
        <f>'[388]Parts 6 -9'!$C$4</f>
        <v>44710697.020000003</v>
      </c>
      <c r="T39" s="26">
        <f>'[388]Parts 6 -9'!$E$4</f>
        <v>1756604.73</v>
      </c>
      <c r="U39" s="26">
        <f>'[388]Parts 6 -9'!$F$4</f>
        <v>1011207.81</v>
      </c>
      <c r="V39" s="26">
        <f>'[388]Parts 6 -9'!$G$4</f>
        <v>570104.93999999994</v>
      </c>
      <c r="W39" s="26">
        <f>'[388]Parts 6 -9'!$H$4</f>
        <v>235672.58</v>
      </c>
      <c r="X39" s="26">
        <f>'[388]Parts 6 -9'!$J$4</f>
        <v>140053.97</v>
      </c>
      <c r="Y39" s="26">
        <f>'[388]Parts 6 -9'!$P$14</f>
        <v>65972.290000000008</v>
      </c>
      <c r="Z39" s="26">
        <f t="shared" ref="Z39" si="584">Z38+Y39</f>
        <v>454258.36999999988</v>
      </c>
      <c r="AA39" s="4">
        <f t="shared" ref="AA39" si="585">Z39/$D$4</f>
        <v>7.5709635778303573E-3</v>
      </c>
      <c r="AB39" s="2">
        <f>'[388]Part 11'!$V$8</f>
        <v>43275408.750000007</v>
      </c>
      <c r="AC39" s="8">
        <f t="shared" ref="AC39" si="586">+AB39/$AB$4</f>
        <v>0.78397479619565236</v>
      </c>
      <c r="AD39" s="2">
        <f t="shared" ref="AD39" si="587">AB39*$AD$2</f>
        <v>35278865.828804351</v>
      </c>
      <c r="AE39" s="2">
        <f>'[388]Part 11'!$V$9</f>
        <v>3600000</v>
      </c>
      <c r="AF39" s="8">
        <f t="shared" ref="AF39" si="588">+AE39/$AE$4</f>
        <v>1</v>
      </c>
      <c r="AG39" s="2">
        <f>'[388]Part 11'!$V$10</f>
        <v>1200000</v>
      </c>
      <c r="AH39" s="8">
        <f t="shared" ref="AH39" si="589">+AG39/$AG$4</f>
        <v>1</v>
      </c>
      <c r="AI39" s="8">
        <f t="shared" ref="AI39" si="590">+AB39/D39</f>
        <v>0.88784174040127473</v>
      </c>
      <c r="AJ39" s="2">
        <f>'[388]Parts 4 - 5 '!$C$45</f>
        <v>523868.72061487514</v>
      </c>
      <c r="AK39" s="4">
        <f t="shared" ref="AK39" si="591">((+D39+AJ39)-AB39)/D39</f>
        <v>0.12290599208900471</v>
      </c>
      <c r="AL39" s="4">
        <f t="shared" ref="AL39" si="592">+S39/$D39</f>
        <v>0.91728822912136865</v>
      </c>
      <c r="AM39" s="4">
        <f t="shared" ref="AM39" si="593">+T39/$D39</f>
        <v>3.6038642862739244E-2</v>
      </c>
      <c r="AN39" s="4">
        <f t="shared" ref="AN39" si="594">+U39/$D39</f>
        <v>2.0746020150248991E-2</v>
      </c>
      <c r="AO39" s="4">
        <f t="shared" ref="AO39" si="595">+V39/$D39</f>
        <v>1.1696318458019514E-2</v>
      </c>
      <c r="AP39" s="4">
        <f t="shared" ref="AP39" si="596">+W39/$D39</f>
        <v>4.8350774639894902E-3</v>
      </c>
      <c r="AQ39" s="4">
        <f t="shared" ref="AQ39" si="597">+X39/$D39</f>
        <v>2.8733584284147957E-3</v>
      </c>
      <c r="AR39" s="4">
        <f t="shared" ref="AR39" si="598">+Y39/$D39</f>
        <v>1.3534927679188613E-3</v>
      </c>
    </row>
    <row r="40" spans="1:44" x14ac:dyDescent="0.25">
      <c r="A40">
        <f t="shared" si="360"/>
        <v>36</v>
      </c>
      <c r="B40" s="3">
        <f t="shared" ref="B40:B51" si="599">+B39+28</f>
        <v>44620</v>
      </c>
      <c r="C40" s="41">
        <f>'[389]Part 1'!$C$18</f>
        <v>1924</v>
      </c>
      <c r="D40" s="2">
        <f>'[389]Part 1'!$C$22</f>
        <v>48552027.890000001</v>
      </c>
      <c r="E40" s="32">
        <f>'[389]Part 1'!$E$22</f>
        <v>6.2799999999999995E-2</v>
      </c>
      <c r="F40" s="8">
        <f t="shared" ref="F40" si="600">+D40/$D$4</f>
        <v>0.80919947558697447</v>
      </c>
      <c r="G40" s="2">
        <f>'[389]Parts 2 - 3'!$C$49</f>
        <v>66375.320000000007</v>
      </c>
      <c r="H40" s="8"/>
      <c r="I40" s="8"/>
      <c r="J40" s="8"/>
      <c r="K40" s="8"/>
      <c r="L40" s="8"/>
      <c r="M40" s="8"/>
      <c r="N40" s="6">
        <f t="shared" ref="N40" si="601">G40/D39</f>
        <v>1.3617613635709804E-3</v>
      </c>
      <c r="O40" s="6">
        <f t="shared" ref="O40" si="602">1-(+N40-1)^12</f>
        <v>1.6219300212879317E-2</v>
      </c>
      <c r="P40" s="20">
        <f t="shared" ref="P40" si="603">AVERAGE(O38:O40)</f>
        <v>3.0738885556461759E-2</v>
      </c>
      <c r="Q40" s="20">
        <f t="shared" ref="Q40" si="604">AVERAGE(O35:O40)</f>
        <v>2.648163119907428E-2</v>
      </c>
      <c r="R40" s="17">
        <f t="shared" ref="R40" si="605">AVERAGE(O29:O40)</f>
        <v>2.7079839223056096E-2</v>
      </c>
      <c r="S40" s="26">
        <f>'[389]Parts 6 -9'!$C$4</f>
        <v>44534434.369999997</v>
      </c>
      <c r="T40" s="26">
        <f>'[389]Parts 6 -9'!$E$4</f>
        <v>1482147.85</v>
      </c>
      <c r="U40" s="26">
        <f>'[389]Parts 6 -9'!$F$4</f>
        <v>1108050.71</v>
      </c>
      <c r="V40" s="26">
        <f>'[389]Parts 6 -9'!$G$4</f>
        <v>719113.16</v>
      </c>
      <c r="W40" s="26">
        <f>'[389]Parts 6 -9'!$H$4</f>
        <v>133102.57999999999</v>
      </c>
      <c r="X40" s="26">
        <f>'[389]Parts 6 -9'!$J$4</f>
        <v>194864.96</v>
      </c>
      <c r="Y40" s="26">
        <f>'[389]Parts 6 -9'!$P$14</f>
        <v>77064.569999999992</v>
      </c>
      <c r="Z40" s="26">
        <f t="shared" ref="Z40" si="606">Z39+Y40</f>
        <v>531322.93999999983</v>
      </c>
      <c r="AA40" s="4">
        <f t="shared" ref="AA40" si="607">Z40/$D$4</f>
        <v>8.8553715076416621E-3</v>
      </c>
      <c r="AB40" s="2">
        <f>'[389]Part 11'!$V$8</f>
        <v>43044838.550000004</v>
      </c>
      <c r="AC40" s="8">
        <f t="shared" ref="AC40" si="608">+AB40/$AB$4</f>
        <v>0.77979779981884068</v>
      </c>
      <c r="AD40" s="2">
        <f t="shared" ref="AD40" si="609">AB40*$AD$2</f>
        <v>35090900.991847828</v>
      </c>
      <c r="AE40" s="2">
        <f>'[389]Part 11'!$V$9</f>
        <v>3600000</v>
      </c>
      <c r="AF40" s="8">
        <f t="shared" ref="AF40" si="610">+AE40/$AE$4</f>
        <v>1</v>
      </c>
      <c r="AG40" s="2">
        <f>'[389]Part 11'!$V$10</f>
        <v>1200000</v>
      </c>
      <c r="AH40" s="8">
        <f t="shared" ref="AH40" si="611">+AG40/$AG$4</f>
        <v>1</v>
      </c>
      <c r="AI40" s="8">
        <f t="shared" ref="AI40" si="612">+AB40/D40</f>
        <v>0.88657138374369981</v>
      </c>
      <c r="AJ40" s="2">
        <f>'[389]Parts 4 - 5 '!$C$45</f>
        <v>520116.31891406258</v>
      </c>
      <c r="AK40" s="4">
        <f t="shared" ref="AK40" si="613">((+D40+AJ40)-AB40)/D40</f>
        <v>0.12414117228161073</v>
      </c>
      <c r="AL40" s="4">
        <f t="shared" ref="AL40" si="614">+S40/$D40</f>
        <v>0.91725178752363734</v>
      </c>
      <c r="AM40" s="4">
        <f t="shared" ref="AM40" si="615">+T40/$D40</f>
        <v>3.0527001948465887E-2</v>
      </c>
      <c r="AN40" s="4">
        <f t="shared" ref="AN40" si="616">+U40/$D40</f>
        <v>2.2821924400571108E-2</v>
      </c>
      <c r="AO40" s="4">
        <f t="shared" ref="AO40" si="617">+V40/$D40</f>
        <v>1.4811186911270331E-2</v>
      </c>
      <c r="AP40" s="4">
        <f t="shared" ref="AP40" si="618">+W40/$D40</f>
        <v>2.7414422380370729E-3</v>
      </c>
      <c r="AQ40" s="4">
        <f t="shared" ref="AQ40" si="619">+X40/$D40</f>
        <v>4.0135287539685913E-3</v>
      </c>
      <c r="AR40" s="4">
        <f t="shared" ref="AR40" si="620">+Y40/$D40</f>
        <v>1.5872574915840449E-3</v>
      </c>
    </row>
    <row r="41" spans="1:44" x14ac:dyDescent="0.25">
      <c r="A41">
        <f t="shared" si="360"/>
        <v>37</v>
      </c>
      <c r="B41" s="3">
        <f t="shared" si="599"/>
        <v>44648</v>
      </c>
      <c r="C41" s="41">
        <f>'[390]Part 1'!$C$18</f>
        <v>1919</v>
      </c>
      <c r="D41" s="2">
        <f>'[390]Part 1'!$C$22</f>
        <v>48335714.200000003</v>
      </c>
      <c r="E41" s="32">
        <f>'[390]Part 1'!$E$22</f>
        <v>6.2799999999999995E-2</v>
      </c>
      <c r="F41" s="8">
        <f t="shared" ref="F41" si="621">+D41/$D$4</f>
        <v>0.80559425182769384</v>
      </c>
      <c r="G41" s="2">
        <f>'[390]Parts 2 - 3'!$C$49</f>
        <v>52955.47</v>
      </c>
      <c r="H41" s="8"/>
      <c r="I41" s="8"/>
      <c r="J41" s="8"/>
      <c r="K41" s="8"/>
      <c r="L41" s="8"/>
      <c r="M41" s="8"/>
      <c r="N41" s="6">
        <f t="shared" ref="N41" si="622">G41/D40</f>
        <v>1.0906953283182422E-3</v>
      </c>
      <c r="O41" s="6">
        <f t="shared" ref="O41" si="623">1-(+N41-1)^12</f>
        <v>1.3010114016741126E-2</v>
      </c>
      <c r="P41" s="20">
        <f t="shared" ref="P41" si="624">AVERAGE(O39:O41)</f>
        <v>1.8920772346933196E-2</v>
      </c>
      <c r="Q41" s="20">
        <f t="shared" ref="Q41" si="625">AVERAGE(O36:O41)</f>
        <v>2.537598640463638E-2</v>
      </c>
      <c r="R41" s="17">
        <f t="shared" ref="R41" si="626">AVERAGE(O30:O41)</f>
        <v>2.6787460828979748E-2</v>
      </c>
      <c r="S41" s="26">
        <f>'[390]Parts 6 -9'!$C$4</f>
        <v>44037567.859999999</v>
      </c>
      <c r="T41" s="26">
        <f>'[390]Parts 6 -9'!$E$4</f>
        <v>1820370.15</v>
      </c>
      <c r="U41" s="26">
        <f>'[390]Parts 6 -9'!$F$4</f>
        <v>1124263.99</v>
      </c>
      <c r="V41" s="26">
        <f>'[390]Parts 6 -9'!$G$4</f>
        <v>501993.8</v>
      </c>
      <c r="W41" s="26">
        <f>'[390]Parts 6 -9'!$H$4</f>
        <v>219948.25</v>
      </c>
      <c r="X41" s="26">
        <f>'[390]Parts 6 -9'!$J$4</f>
        <v>111617.37</v>
      </c>
      <c r="Y41" s="26">
        <f>'[390]Parts 6 -9'!$P$14</f>
        <v>194660.89</v>
      </c>
      <c r="Z41" s="26">
        <f t="shared" ref="Z41" si="627">Z40+Y41</f>
        <v>725983.82999999984</v>
      </c>
      <c r="AA41" s="4">
        <f t="shared" ref="AA41" si="628">Z41/$D$4</f>
        <v>1.2099715708097545E-2</v>
      </c>
      <c r="AB41" s="2">
        <f>'[390]Part 11'!$V$8</f>
        <v>42797510.270000003</v>
      </c>
      <c r="AC41" s="8">
        <f t="shared" ref="AC41" si="629">+AB41/$AB$4</f>
        <v>0.77531721503623197</v>
      </c>
      <c r="AD41" s="2">
        <f t="shared" ref="AD41" si="630">AB41*$AD$2</f>
        <v>34889274.676630437</v>
      </c>
      <c r="AE41" s="2">
        <f>'[390]Part 11'!$V$9</f>
        <v>3600000</v>
      </c>
      <c r="AF41" s="8">
        <f t="shared" ref="AF41" si="631">+AE41/$AE$4</f>
        <v>1</v>
      </c>
      <c r="AG41" s="2">
        <f>'[390]Part 11'!$V$10</f>
        <v>1200000</v>
      </c>
      <c r="AH41" s="8">
        <f t="shared" ref="AH41" si="632">+AG41/$AG$4</f>
        <v>1</v>
      </c>
      <c r="AI41" s="8">
        <f t="shared" ref="AI41" si="633">+AB41/D41</f>
        <v>0.8854221144414165</v>
      </c>
      <c r="AJ41" s="2">
        <f>'[390]Parts 4 - 5 '!$C$45</f>
        <v>517345.15332281264</v>
      </c>
      <c r="AK41" s="4">
        <f t="shared" ref="AK41" si="634">((+D41+AJ41)-AB41)/D41</f>
        <v>0.12528105115539631</v>
      </c>
      <c r="AL41" s="4">
        <f t="shared" ref="AL41" si="635">+S41/$D41</f>
        <v>0.91107721461990931</v>
      </c>
      <c r="AM41" s="4">
        <f t="shared" ref="AM41" si="636">+T41/$D41</f>
        <v>3.7660975535973355E-2</v>
      </c>
      <c r="AN41" s="4">
        <f t="shared" ref="AN41" si="637">+U41/$D41</f>
        <v>2.3259488529498131E-2</v>
      </c>
      <c r="AO41" s="4">
        <f t="shared" ref="AO41" si="638">+V41/$D41</f>
        <v>1.0385567034819979E-2</v>
      </c>
      <c r="AP41" s="4">
        <f t="shared" ref="AP41" si="639">+W41/$D41</f>
        <v>4.5504292972669055E-3</v>
      </c>
      <c r="AQ41" s="4">
        <f t="shared" ref="AQ41" si="640">+X41/$D41</f>
        <v>2.3092111464032114E-3</v>
      </c>
      <c r="AR41" s="4">
        <f t="shared" ref="AR41" si="641">+Y41/$D41</f>
        <v>4.0272683091956878E-3</v>
      </c>
    </row>
    <row r="42" spans="1:44" x14ac:dyDescent="0.25">
      <c r="A42">
        <f t="shared" si="360"/>
        <v>38</v>
      </c>
      <c r="B42" s="3">
        <f t="shared" si="599"/>
        <v>44676</v>
      </c>
      <c r="C42" s="41">
        <f>'[391]Part 1'!$C$18</f>
        <v>1914</v>
      </c>
      <c r="D42" s="2">
        <f>'[391]Part 1'!$C$22</f>
        <v>48072500.079999998</v>
      </c>
      <c r="E42" s="32">
        <f>'[390]Part 1'!$E$22</f>
        <v>6.2799999999999995E-2</v>
      </c>
      <c r="F42" s="8">
        <f t="shared" ref="F42" si="642">+D42/$D$4</f>
        <v>0.80120735519067487</v>
      </c>
      <c r="G42" s="2">
        <f>'[391]Parts 2 - 3'!$C$49</f>
        <v>118145.02</v>
      </c>
      <c r="H42" s="8"/>
      <c r="I42" s="8"/>
      <c r="J42" s="8"/>
      <c r="K42" s="8"/>
      <c r="L42" s="8"/>
      <c r="M42" s="8"/>
      <c r="N42" s="6">
        <f t="shared" ref="N42" si="643">G42/D41</f>
        <v>2.4442593216094446E-3</v>
      </c>
      <c r="O42" s="6">
        <f t="shared" ref="O42" si="644">1-(+N42-1)^12</f>
        <v>2.8939996278456337E-2</v>
      </c>
      <c r="P42" s="20">
        <f t="shared" ref="P42" si="645">AVERAGE(O40:O42)</f>
        <v>1.938980350269226E-2</v>
      </c>
      <c r="Q42" s="20">
        <f t="shared" ref="Q42" si="646">AVERAGE(O37:O42)</f>
        <v>2.5350858549408457E-2</v>
      </c>
      <c r="R42" s="17">
        <f t="shared" ref="R42" si="647">AVERAGE(O31:O42)</f>
        <v>2.8154600167489812E-2</v>
      </c>
      <c r="S42" s="26">
        <f>'[391]Parts 6 -9'!$C$4</f>
        <v>44101284.779999994</v>
      </c>
      <c r="T42" s="26">
        <f>'[391]Parts 6 -9'!$E$4</f>
        <v>1575837.69</v>
      </c>
      <c r="U42" s="26">
        <f>'[391]Parts 6 -9'!$F$4</f>
        <v>1132966.27</v>
      </c>
      <c r="V42" s="26">
        <f>'[391]Parts 6 -9'!$G$4</f>
        <v>392086.68</v>
      </c>
      <c r="W42" s="26">
        <f>'[391]Parts 6 -9'!$H$4</f>
        <v>245119.95</v>
      </c>
      <c r="X42" s="26">
        <f>'[391]Parts 6 -9'!$J$4</f>
        <v>130672.51</v>
      </c>
      <c r="Y42" s="26">
        <f>'[391]Parts 6 -9'!$P$14</f>
        <v>0</v>
      </c>
      <c r="Z42" s="26">
        <f t="shared" ref="Z42" si="648">Z41+Y42</f>
        <v>725983.82999999984</v>
      </c>
      <c r="AA42" s="4">
        <f t="shared" ref="AA42" si="649">Z42/$D$4</f>
        <v>1.2099715708097545E-2</v>
      </c>
      <c r="AB42" s="2">
        <f>'[391]Part 11'!$V$8</f>
        <v>42477500.480000004</v>
      </c>
      <c r="AC42" s="8">
        <f t="shared" ref="AC42" si="650">+AB42/$AB$4</f>
        <v>0.76951993623188408</v>
      </c>
      <c r="AD42" s="2">
        <f t="shared" ref="AD42" si="651">AB42*$AD$2</f>
        <v>34628397.130434781</v>
      </c>
      <c r="AE42" s="2">
        <f>'[391]Part 11'!$V$9</f>
        <v>3600000</v>
      </c>
      <c r="AF42" s="8">
        <f t="shared" ref="AF42" si="652">+AE42/$AE$4</f>
        <v>1</v>
      </c>
      <c r="AG42" s="2">
        <f>'[391]Part 11'!$V$10</f>
        <v>1200000</v>
      </c>
      <c r="AH42" s="8">
        <f t="shared" ref="AH42" si="653">+AG42/$AG$4</f>
        <v>1</v>
      </c>
      <c r="AI42" s="8">
        <f t="shared" ref="AI42" si="654">+AB42/D42</f>
        <v>0.8836133009373538</v>
      </c>
      <c r="AJ42" s="2">
        <f>'[391]Parts 4 - 5 '!$C$45</f>
        <v>514372.57655756251</v>
      </c>
      <c r="AK42" s="4">
        <f t="shared" ref="AK42" si="655">((+D42+AJ42)-AB42)/D42</f>
        <v>0.12708663303116388</v>
      </c>
      <c r="AL42" s="4">
        <f t="shared" ref="AL42" si="656">+S42/$D42</f>
        <v>0.91739112188067407</v>
      </c>
      <c r="AM42" s="4">
        <f t="shared" ref="AM42" si="657">+T42/$D42</f>
        <v>3.2780439697905554E-2</v>
      </c>
      <c r="AN42" s="4">
        <f t="shared" ref="AN42" si="658">+U42/$D42</f>
        <v>2.3567866620512159E-2</v>
      </c>
      <c r="AO42" s="4">
        <f t="shared" ref="AO42" si="659">+V42/$D42</f>
        <v>8.1561532965314428E-3</v>
      </c>
      <c r="AP42" s="4">
        <f t="shared" ref="AP42" si="660">+W42/$D42</f>
        <v>5.0989640562084954E-3</v>
      </c>
      <c r="AQ42" s="4">
        <f t="shared" ref="AQ42" si="661">+X42/$D42</f>
        <v>2.7182382813987402E-3</v>
      </c>
      <c r="AR42" s="4">
        <f t="shared" ref="AR42" si="662">+Y42/$D42</f>
        <v>0</v>
      </c>
    </row>
    <row r="43" spans="1:44" x14ac:dyDescent="0.25">
      <c r="A43">
        <f t="shared" si="360"/>
        <v>39</v>
      </c>
      <c r="B43" s="3">
        <f t="shared" si="599"/>
        <v>44704</v>
      </c>
      <c r="C43" s="41">
        <f>'[392]Part 1'!$C$18</f>
        <v>1912</v>
      </c>
      <c r="D43" s="2">
        <f>'[392]Part 1'!$C$22</f>
        <v>47876860.880000003</v>
      </c>
      <c r="E43" s="32">
        <f>'[390]Part 1'!$E$22</f>
        <v>6.2799999999999995E-2</v>
      </c>
      <c r="F43" s="8">
        <f t="shared" ref="F43" si="663">+D43/$D$4</f>
        <v>0.79794670584348548</v>
      </c>
      <c r="G43" s="2">
        <f>'[392]Parts 2 - 3'!$C$49</f>
        <v>67202.84</v>
      </c>
      <c r="H43" s="8"/>
      <c r="I43" s="8"/>
      <c r="J43" s="8"/>
      <c r="K43" s="8"/>
      <c r="L43" s="8"/>
      <c r="M43" s="8"/>
      <c r="N43" s="6">
        <f t="shared" ref="N43" si="664">G43/D42</f>
        <v>1.3979476808604542E-3</v>
      </c>
      <c r="O43" s="6">
        <f t="shared" ref="O43" si="665">1-(+N43-1)^12</f>
        <v>1.664699030367478E-2</v>
      </c>
      <c r="P43" s="20">
        <f t="shared" ref="P43" si="666">AVERAGE(O41:O43)</f>
        <v>1.9532366866290746E-2</v>
      </c>
      <c r="Q43" s="20">
        <f t="shared" ref="Q43" si="667">AVERAGE(O38:O43)</f>
        <v>2.5135626211376254E-2</v>
      </c>
      <c r="R43" s="17">
        <f t="shared" ref="R43" si="668">AVERAGE(O32:O43)</f>
        <v>2.6052158425137816E-2</v>
      </c>
      <c r="S43" s="26">
        <f>'[392]Parts 6 -9'!$C$4</f>
        <v>43324029.390000001</v>
      </c>
      <c r="T43" s="26">
        <f>'[392]Parts 6 -9'!$E$4</f>
        <v>2144912.4</v>
      </c>
      <c r="U43" s="26">
        <f>'[392]Parts 6 -9'!$F$4</f>
        <v>1090493.82</v>
      </c>
      <c r="V43" s="26">
        <f>'[392]Parts 6 -9'!$G$4</f>
        <v>482197.87</v>
      </c>
      <c r="W43" s="26">
        <f>'[392]Parts 6 -9'!$H$4</f>
        <v>207596.88</v>
      </c>
      <c r="X43" s="26">
        <f>'[392]Parts 6 -9'!$J$4</f>
        <v>74183.649999999994</v>
      </c>
      <c r="Y43" s="26">
        <f>'[392]Parts 6 -9'!$P$14</f>
        <v>18983.990000000002</v>
      </c>
      <c r="Z43" s="26">
        <f t="shared" ref="Z43" si="669">Z42+Y43</f>
        <v>744967.81999999983</v>
      </c>
      <c r="AA43" s="4">
        <f t="shared" ref="AA43" si="670">Z43/$D$4</f>
        <v>1.2416115154632553E-2</v>
      </c>
      <c r="AB43" s="2">
        <f>'[392]Part 11'!$V$8</f>
        <v>42247666.310000002</v>
      </c>
      <c r="AC43" s="8">
        <f t="shared" ref="AC43" si="671">+AB43/$AB$4</f>
        <v>0.76535627373188408</v>
      </c>
      <c r="AD43" s="2">
        <f t="shared" ref="AD43" si="672">AB43*$AD$2</f>
        <v>34441032.317934781</v>
      </c>
      <c r="AE43" s="2">
        <f>'[392]Part 11'!$V$9</f>
        <v>3600000</v>
      </c>
      <c r="AF43" s="8">
        <f t="shared" ref="AF43" si="673">+AE43/$AE$4</f>
        <v>1</v>
      </c>
      <c r="AG43" s="2">
        <f>'[392]Part 11'!$V$10</f>
        <v>1200000</v>
      </c>
      <c r="AH43" s="8">
        <f t="shared" ref="AH43" si="674">+AG43/$AG$4</f>
        <v>1</v>
      </c>
      <c r="AI43" s="8">
        <f t="shared" ref="AI43" si="675">+AB43/D43</f>
        <v>0.88242348252302538</v>
      </c>
      <c r="AJ43" s="2">
        <f>'[392]Parts 4 - 5 '!$C$45</f>
        <v>510526.45889400004</v>
      </c>
      <c r="AK43" s="4">
        <f t="shared" ref="AK43" si="676">((+D43+AJ43)-AB43)/D43</f>
        <v>0.1282398410431039</v>
      </c>
      <c r="AL43" s="4">
        <f t="shared" ref="AL43" si="677">+S43/$D43</f>
        <v>0.90490538840022627</v>
      </c>
      <c r="AM43" s="4">
        <f t="shared" ref="AM43" si="678">+T43/$D43</f>
        <v>4.4800606400993426E-2</v>
      </c>
      <c r="AN43" s="4">
        <f t="shared" ref="AN43" si="679">+U43/$D43</f>
        <v>2.2777053464997348E-2</v>
      </c>
      <c r="AO43" s="4">
        <f t="shared" ref="AO43" si="680">+V43/$D43</f>
        <v>1.007162669266465E-2</v>
      </c>
      <c r="AP43" s="4">
        <f t="shared" ref="AP43" si="681">+W43/$D43</f>
        <v>4.3360587178078993E-3</v>
      </c>
      <c r="AQ43" s="4">
        <f t="shared" ref="AQ43" si="682">+X43/$D43</f>
        <v>1.5494677102146717E-3</v>
      </c>
      <c r="AR43" s="4">
        <f t="shared" ref="AR43" si="683">+Y43/$D43</f>
        <v>3.9651701575803066E-4</v>
      </c>
    </row>
    <row r="44" spans="1:44" x14ac:dyDescent="0.25">
      <c r="A44">
        <f t="shared" si="360"/>
        <v>40</v>
      </c>
      <c r="B44" s="3">
        <f t="shared" si="599"/>
        <v>44732</v>
      </c>
      <c r="C44" s="41">
        <f>'[393]Part 1'!$C$18</f>
        <v>1906</v>
      </c>
      <c r="D44" s="2">
        <f>'[393]Part 1'!$C$22</f>
        <v>47663228.340000004</v>
      </c>
      <c r="E44" s="32">
        <f>'[390]Part 1'!$E$22</f>
        <v>6.2799999999999995E-2</v>
      </c>
      <c r="F44" s="8">
        <f t="shared" ref="F44" si="684">+D44/$D$4</f>
        <v>0.79438616786290983</v>
      </c>
      <c r="G44" s="2">
        <f>'[393]Parts 2 - 3'!$C$49</f>
        <v>78811.539999999994</v>
      </c>
      <c r="H44" s="8"/>
      <c r="I44" s="8"/>
      <c r="J44" s="8"/>
      <c r="K44" s="8"/>
      <c r="L44" s="8"/>
      <c r="M44" s="8"/>
      <c r="N44" s="6">
        <f t="shared" ref="N44" si="685">G44/D43</f>
        <v>1.6461300626525119E-3</v>
      </c>
      <c r="O44" s="6">
        <f t="shared" ref="O44" si="686">1-(+N44-1)^12</f>
        <v>1.9575695340751653E-2</v>
      </c>
      <c r="P44" s="20">
        <f t="shared" ref="P44" si="687">AVERAGE(O42:O44)</f>
        <v>2.1720893974294258E-2</v>
      </c>
      <c r="Q44" s="20">
        <f t="shared" ref="Q44" si="688">AVERAGE(O39:O44)</f>
        <v>2.0320833160613727E-2</v>
      </c>
      <c r="R44" s="17">
        <f t="shared" ref="R44" si="689">AVERAGE(O33:O44)</f>
        <v>2.5669044866140966E-2</v>
      </c>
      <c r="S44" s="26">
        <f>'[393]Parts 6 -9'!$C$4</f>
        <v>43119842.359999992</v>
      </c>
      <c r="T44" s="26">
        <f>'[393]Parts 6 -9'!$E$4</f>
        <v>2285698.54</v>
      </c>
      <c r="U44" s="26">
        <f>'[393]Parts 6 -9'!$F$4</f>
        <v>1025619.18</v>
      </c>
      <c r="V44" s="26">
        <f>'[393]Parts 6 -9'!$G$4</f>
        <v>386135.94</v>
      </c>
      <c r="W44" s="26">
        <f>'[393]Parts 6 -9'!$H$4</f>
        <v>201287.41</v>
      </c>
      <c r="X44" s="26">
        <f>'[393]Parts 6 -9'!$J$4</f>
        <v>106419.09</v>
      </c>
      <c r="Y44" s="26">
        <f>'[393]Parts 6 -9'!$P$14</f>
        <v>0</v>
      </c>
      <c r="Z44" s="26">
        <f t="shared" ref="Z44" si="690">Z43+Y44</f>
        <v>744967.81999999983</v>
      </c>
      <c r="AA44" s="4">
        <f t="shared" ref="AA44" si="691">Z44/$D$4</f>
        <v>1.2416115154632553E-2</v>
      </c>
      <c r="AB44" s="2">
        <f>'[393]Part 11'!$V$8</f>
        <v>41977551.800000004</v>
      </c>
      <c r="AC44" s="8">
        <f t="shared" ref="AC44" si="692">+AB44/$AB$4</f>
        <v>0.76046289492753627</v>
      </c>
      <c r="AD44" s="2">
        <f t="shared" ref="AD44" si="693">AB44*$AD$2</f>
        <v>34220830.271739133</v>
      </c>
      <c r="AE44" s="2">
        <f>'[393]Part 11'!$V$9</f>
        <v>3600000</v>
      </c>
      <c r="AF44" s="8">
        <f t="shared" ref="AF44" si="694">+AE44/$AE$4</f>
        <v>1</v>
      </c>
      <c r="AG44" s="2">
        <f>'[393]Part 11'!$V$10</f>
        <v>1200000</v>
      </c>
      <c r="AH44" s="8">
        <f t="shared" ref="AH44" si="695">+AG44/$AG$4</f>
        <v>1</v>
      </c>
      <c r="AI44" s="8">
        <f t="shared" ref="AI44" si="696">+AB44/D44</f>
        <v>0.88071146798026567</v>
      </c>
      <c r="AJ44" s="2">
        <f>'[393]Parts 4 - 5 '!$C$45</f>
        <v>514372.57655756251</v>
      </c>
      <c r="AK44" s="4">
        <f t="shared" ref="AK44" si="697">((+D44+AJ44)-AB44)/D44</f>
        <v>0.13008034353716547</v>
      </c>
      <c r="AL44" s="4">
        <f t="shared" ref="AL44" si="698">+S44/$D44</f>
        <v>0.90467733432594399</v>
      </c>
      <c r="AM44" s="4">
        <f t="shared" ref="AM44" si="699">+T44/$D44</f>
        <v>4.7955176760064167E-2</v>
      </c>
      <c r="AN44" s="4">
        <f t="shared" ref="AN44" si="700">+U44/$D44</f>
        <v>2.1518038448505142E-2</v>
      </c>
      <c r="AO44" s="4">
        <f t="shared" ref="AO44" si="701">+V44/$D44</f>
        <v>8.1013383576442818E-3</v>
      </c>
      <c r="AP44" s="4">
        <f t="shared" ref="AP44" si="702">+W44/$D44</f>
        <v>4.2231174221800515E-3</v>
      </c>
      <c r="AQ44" s="4">
        <f t="shared" ref="AQ44" si="703">+X44/$D44</f>
        <v>2.2327293745373687E-3</v>
      </c>
      <c r="AR44" s="4">
        <f t="shared" ref="AR44" si="704">+Y44/$D44</f>
        <v>0</v>
      </c>
    </row>
    <row r="45" spans="1:44" x14ac:dyDescent="0.25">
      <c r="A45">
        <f t="shared" si="360"/>
        <v>41</v>
      </c>
      <c r="B45" s="3">
        <f t="shared" si="599"/>
        <v>44760</v>
      </c>
      <c r="C45" s="41">
        <f>'[394]Part 1'!$C$18</f>
        <v>1896</v>
      </c>
      <c r="D45" s="2">
        <f>'[394]Part 1'!$C$22</f>
        <v>47395498.789999999</v>
      </c>
      <c r="E45" s="32">
        <f>'[390]Part 1'!$E$22</f>
        <v>6.2799999999999995E-2</v>
      </c>
      <c r="F45" s="8">
        <f t="shared" ref="F45" si="705">+D45/$D$4</f>
        <v>0.78992401415122604</v>
      </c>
      <c r="G45" s="2">
        <f>'[394]Parts 2 - 3'!$C$49</f>
        <v>109720.15</v>
      </c>
      <c r="H45" s="8"/>
      <c r="I45" s="8"/>
      <c r="J45" s="8"/>
      <c r="K45" s="8"/>
      <c r="L45" s="8"/>
      <c r="M45" s="8"/>
      <c r="N45" s="6">
        <f t="shared" ref="N45" si="706">G45/D44</f>
        <v>2.3019873772990003E-3</v>
      </c>
      <c r="O45" s="6">
        <f t="shared" ref="O45" si="707">1-(+N45-1)^12</f>
        <v>2.7276774734879328E-2</v>
      </c>
      <c r="P45" s="20">
        <f t="shared" ref="P45" si="708">AVERAGE(O43:O45)</f>
        <v>2.1166486793101919E-2</v>
      </c>
      <c r="Q45" s="20">
        <f t="shared" ref="Q45" si="709">AVERAGE(O40:O45)</f>
        <v>2.0278145147897091E-2</v>
      </c>
      <c r="R45" s="17">
        <f t="shared" ref="R45" si="710">AVERAGE(O34:O45)</f>
        <v>2.4118795952000154E-2</v>
      </c>
      <c r="S45" s="26">
        <f>'[394]Parts 6 -9'!$C$4</f>
        <v>42732368.369999997</v>
      </c>
      <c r="T45" s="26">
        <f>'[394]Parts 6 -9'!$E$4</f>
        <v>2046548.45</v>
      </c>
      <c r="U45" s="26">
        <f>'[394]Parts 6 -9'!$F$4</f>
        <v>1080451.1499999999</v>
      </c>
      <c r="V45" s="26">
        <f>'[394]Parts 6 -9'!$G$4</f>
        <v>579517.78</v>
      </c>
      <c r="W45" s="26">
        <f>'[394]Parts 6 -9'!$H$4</f>
        <v>231031.74</v>
      </c>
      <c r="X45" s="26">
        <f>'[394]Parts 6 -9'!$J$4</f>
        <v>145124.75</v>
      </c>
      <c r="Y45" s="26">
        <f>'[394]Parts 6 -9'!$P$14</f>
        <v>49300.62</v>
      </c>
      <c r="Z45" s="26">
        <f t="shared" ref="Z45" si="711">Z44+Y45</f>
        <v>794268.43999999983</v>
      </c>
      <c r="AA45" s="4">
        <f t="shared" ref="AA45" si="712">Z45/$D$4</f>
        <v>1.3237791150133649E-2</v>
      </c>
      <c r="AB45" s="2">
        <f>'[394]Part 11'!$V$8</f>
        <v>41669359.210000001</v>
      </c>
      <c r="AC45" s="8">
        <f t="shared" ref="AC45" si="713">+AB45/$AB$4</f>
        <v>0.75487969583333336</v>
      </c>
      <c r="AD45" s="2">
        <f t="shared" ref="AD45" si="714">AB45*$AD$2</f>
        <v>33969586.3125</v>
      </c>
      <c r="AE45" s="2">
        <f>'[394]Part 11'!$V$9</f>
        <v>3600000</v>
      </c>
      <c r="AF45" s="8">
        <f t="shared" ref="AF45" si="715">+AE45/$AE$4</f>
        <v>1</v>
      </c>
      <c r="AG45" s="2">
        <f>'[394]Part 11'!$V$10</f>
        <v>1200000</v>
      </c>
      <c r="AH45" s="8">
        <f t="shared" ref="AH45" si="716">+AG45/$AG$4</f>
        <v>1</v>
      </c>
      <c r="AI45" s="8">
        <f t="shared" ref="AI45" si="717">+AB45/D45</f>
        <v>0.87918389454299484</v>
      </c>
      <c r="AJ45" s="2">
        <f>'[394]Parts 4 - 5 '!$C$45</f>
        <v>514372.57655756251</v>
      </c>
      <c r="AK45" s="4">
        <f t="shared" ref="AK45" si="718">((+D45+AJ45)-AB45)/D45</f>
        <v>0.13166887818204054</v>
      </c>
      <c r="AL45" s="4">
        <f t="shared" ref="AL45" si="719">+S45/$D45</f>
        <v>0.90161237798843719</v>
      </c>
      <c r="AM45" s="4">
        <f t="shared" ref="AM45" si="720">+T45/$D45</f>
        <v>4.3180228128157229E-2</v>
      </c>
      <c r="AN45" s="4">
        <f t="shared" ref="AN45" si="721">+U45/$D45</f>
        <v>2.2796492865013687E-2</v>
      </c>
      <c r="AO45" s="4">
        <f t="shared" ref="AO45" si="722">+V45/$D45</f>
        <v>1.2227274631452402E-2</v>
      </c>
      <c r="AP45" s="4">
        <f t="shared" ref="AP45" si="723">+W45/$D45</f>
        <v>4.8745502399638319E-3</v>
      </c>
      <c r="AQ45" s="4">
        <f t="shared" ref="AQ45" si="724">+X45/$D45</f>
        <v>3.0619943603298451E-3</v>
      </c>
      <c r="AR45" s="4">
        <f t="shared" ref="AR45" si="725">+Y45/$D45</f>
        <v>1.0401962477162908E-3</v>
      </c>
    </row>
    <row r="46" spans="1:44" x14ac:dyDescent="0.25">
      <c r="A46">
        <f t="shared" si="360"/>
        <v>42</v>
      </c>
      <c r="B46" s="3">
        <f t="shared" si="599"/>
        <v>44788</v>
      </c>
      <c r="C46" s="41">
        <f>'[395]Part 1'!$C$18</f>
        <v>1889</v>
      </c>
      <c r="D46" s="2">
        <f>'[395]Part 1'!$C$22</f>
        <v>47211975.950000003</v>
      </c>
      <c r="E46" s="32">
        <f>'[390]Part 1'!$E$22</f>
        <v>6.2799999999999995E-2</v>
      </c>
      <c r="F46" s="8">
        <f t="shared" ref="F46" si="726">+D46/$D$4</f>
        <v>0.78686530389049936</v>
      </c>
      <c r="G46" s="2">
        <f>'[395]Parts 2 - 3'!$C$49</f>
        <v>50140.66</v>
      </c>
      <c r="H46" s="8"/>
      <c r="I46" s="8"/>
      <c r="J46" s="8"/>
      <c r="K46" s="8"/>
      <c r="L46" s="8"/>
      <c r="M46" s="8"/>
      <c r="N46" s="6">
        <f t="shared" ref="N46" si="727">G46/D45</f>
        <v>1.0579202937005319E-3</v>
      </c>
      <c r="O46" s="6">
        <f t="shared" ref="O46" si="728">1-(+N46-1)^12</f>
        <v>1.2621436496745742E-2</v>
      </c>
      <c r="P46" s="20">
        <f t="shared" ref="P46" si="729">AVERAGE(O44:O46)</f>
        <v>1.9824635524125573E-2</v>
      </c>
      <c r="Q46" s="20">
        <f t="shared" ref="Q46" si="730">AVERAGE(O41:O46)</f>
        <v>1.967850119520816E-2</v>
      </c>
      <c r="R46" s="17">
        <f t="shared" ref="R46" si="731">AVERAGE(O35:O46)</f>
        <v>2.308006619714122E-2</v>
      </c>
      <c r="S46" s="26">
        <f>'[395]Parts 6 -9'!$C$4</f>
        <v>42364310.380000003</v>
      </c>
      <c r="T46" s="26">
        <f>'[395]Parts 6 -9'!$E$4</f>
        <v>2068245.24</v>
      </c>
      <c r="U46" s="26">
        <f>'[395]Parts 6 -9'!$F$4</f>
        <v>1182754.46</v>
      </c>
      <c r="V46" s="26">
        <f>'[395]Parts 6 -9'!$G$4</f>
        <v>599512.81999999995</v>
      </c>
      <c r="W46" s="26">
        <f>'[395]Parts 6 -9'!$H$4</f>
        <v>271083.42</v>
      </c>
      <c r="X46" s="26">
        <f>'[395]Parts 6 -9'!$J$4</f>
        <v>142024.76</v>
      </c>
      <c r="Y46" s="26">
        <f>'[395]Parts 6 -9'!$P$14</f>
        <v>74109.010000000009</v>
      </c>
      <c r="Z46" s="26">
        <f t="shared" ref="Z46" si="732">Z45+Y46</f>
        <v>868377.44999999984</v>
      </c>
      <c r="AA46" s="4">
        <f t="shared" ref="AA46" si="733">Z46/$D$4</f>
        <v>1.4472939806831083E-2</v>
      </c>
      <c r="AB46" s="2">
        <f>'[395]Part 11'!$V$8</f>
        <v>41474851.75</v>
      </c>
      <c r="AC46" s="8">
        <f t="shared" ref="AC46" si="734">+AB46/$AB$4</f>
        <v>0.75135600996376817</v>
      </c>
      <c r="AD46" s="2">
        <f t="shared" ref="AD46" si="735">AB46*$AD$2</f>
        <v>33811020.448369563</v>
      </c>
      <c r="AE46" s="2">
        <f>'[395]Part 11'!$V$9</f>
        <v>3600000</v>
      </c>
      <c r="AF46" s="8">
        <f t="shared" ref="AF46" si="736">+AE46/$AE$4</f>
        <v>1</v>
      </c>
      <c r="AG46" s="2">
        <f>'[395]Part 11'!$V$10</f>
        <v>1200000</v>
      </c>
      <c r="AH46" s="8">
        <f t="shared" ref="AH46" si="737">+AG46/$AG$4</f>
        <v>1</v>
      </c>
      <c r="AI46" s="8">
        <f t="shared" ref="AI46" si="738">+AB46/D46</f>
        <v>0.87848159106757318</v>
      </c>
      <c r="AJ46" s="2">
        <f>'[395]Parts 4 - 5 '!$C$45</f>
        <v>514372.57655756251</v>
      </c>
      <c r="AK46" s="4">
        <f t="shared" ref="AK46" si="739">((+D46+AJ46)-AB46)/D46</f>
        <v>0.13241336865837247</v>
      </c>
      <c r="AL46" s="4">
        <f t="shared" ref="AL46" si="740">+S46/$D46</f>
        <v>0.89732127341728007</v>
      </c>
      <c r="AM46" s="4">
        <f t="shared" ref="AM46" si="741">+T46/$D46</f>
        <v>4.380763987066294E-2</v>
      </c>
      <c r="AN46" s="4">
        <f t="shared" ref="AN46" si="742">+U46/$D46</f>
        <v>2.5052000815483765E-2</v>
      </c>
      <c r="AO46" s="4">
        <f t="shared" ref="AO46" si="743">+V46/$D46</f>
        <v>1.2698320880170658E-2</v>
      </c>
      <c r="AP46" s="4">
        <f t="shared" ref="AP46" si="744">+W46/$D46</f>
        <v>5.74183593347357E-3</v>
      </c>
      <c r="AQ46" s="4">
        <f t="shared" ref="AQ46" si="745">+X46/$D46</f>
        <v>3.008235879608424E-3</v>
      </c>
      <c r="AR46" s="4">
        <f t="shared" ref="AR46" si="746">+Y46/$D46</f>
        <v>1.5697078656162454E-3</v>
      </c>
    </row>
    <row r="47" spans="1:44" x14ac:dyDescent="0.25">
      <c r="A47">
        <f t="shared" si="360"/>
        <v>43</v>
      </c>
      <c r="B47" s="3">
        <f t="shared" si="599"/>
        <v>44816</v>
      </c>
      <c r="C47" s="41">
        <f>'[396]Part 1'!$C$18</f>
        <v>1876</v>
      </c>
      <c r="D47" s="2">
        <f>'[396]Part 1'!$C$22</f>
        <v>46784263.490000002</v>
      </c>
      <c r="E47" s="32">
        <f>'[390]Part 1'!$E$22</f>
        <v>6.2799999999999995E-2</v>
      </c>
      <c r="F47" s="8">
        <f t="shared" ref="F47" si="747">+D47/$D$4</f>
        <v>0.77973677160513011</v>
      </c>
      <c r="G47" s="2">
        <f>'[396]Parts 2 - 3'!$C$49</f>
        <v>259466.62</v>
      </c>
      <c r="H47" s="8"/>
      <c r="I47" s="8"/>
      <c r="J47" s="8"/>
      <c r="K47" s="8"/>
      <c r="L47" s="8"/>
      <c r="M47" s="8"/>
      <c r="N47" s="6">
        <f t="shared" ref="N47" si="748">G47/D46</f>
        <v>5.4957797206960576E-3</v>
      </c>
      <c r="O47" s="6">
        <f t="shared" ref="O47" si="749">1-(+N47-1)^12</f>
        <v>6.3991990080498717E-2</v>
      </c>
      <c r="P47" s="20">
        <f t="shared" ref="P47" si="750">AVERAGE(O45:O47)</f>
        <v>3.4630067104041262E-2</v>
      </c>
      <c r="Q47" s="20">
        <f t="shared" ref="Q47" si="751">AVERAGE(O42:O47)</f>
        <v>2.8175480539167758E-2</v>
      </c>
      <c r="R47" s="17">
        <f t="shared" ref="R47" si="752">AVERAGE(O36:O47)</f>
        <v>2.6775733471902069E-2</v>
      </c>
      <c r="S47" s="26">
        <f>'[396]Parts 6 -9'!$C$4</f>
        <v>42147597.939999998</v>
      </c>
      <c r="T47" s="26">
        <f>'[396]Parts 6 -9'!$E$4</f>
        <v>2139122.7000000002</v>
      </c>
      <c r="U47" s="26">
        <f>'[396]Parts 6 -9'!$F$4</f>
        <v>1026470.53</v>
      </c>
      <c r="V47" s="26">
        <f>'[396]Parts 6 -9'!$G$4</f>
        <v>404088.05</v>
      </c>
      <c r="W47" s="26">
        <f>'[396]Parts 6 -9'!$H$4</f>
        <v>386315.95</v>
      </c>
      <c r="X47" s="26">
        <f>'[396]Parts 6 -9'!$J$4</f>
        <v>76595.53</v>
      </c>
      <c r="Y47" s="26">
        <f>'[396]Parts 6 -9'!$P$14</f>
        <v>57288.53</v>
      </c>
      <c r="Z47" s="26">
        <f t="shared" ref="Z47" si="753">Z46+Y47</f>
        <v>925665.97999999986</v>
      </c>
      <c r="AA47" s="4">
        <f t="shared" ref="AA47" si="754">Z47/$D$4</f>
        <v>1.5427747472912045E-2</v>
      </c>
      <c r="AB47" s="2">
        <f>'[396]Part 11'!$V$8</f>
        <v>41027111.369999997</v>
      </c>
      <c r="AC47" s="8">
        <f t="shared" ref="AC47" si="755">+AB47/$AB$4</f>
        <v>0.74324477119565213</v>
      </c>
      <c r="AD47" s="2">
        <f t="shared" ref="AD47" si="756">AB47*$AD$2</f>
        <v>33446014.703804344</v>
      </c>
      <c r="AE47" s="2">
        <f>'[396]Part 11'!$V$9</f>
        <v>3600000</v>
      </c>
      <c r="AF47" s="8">
        <f t="shared" ref="AF47" si="757">+AE47/$AE$4</f>
        <v>1</v>
      </c>
      <c r="AG47" s="2">
        <f>'[396]Part 11'!$V$10</f>
        <v>1200000</v>
      </c>
      <c r="AH47" s="8">
        <f t="shared" ref="AH47" si="758">+AG47/$AG$4</f>
        <v>1</v>
      </c>
      <c r="AI47" s="8">
        <f t="shared" ref="AI47" si="759">+AB47/D47</f>
        <v>0.87694255096629703</v>
      </c>
      <c r="AJ47" s="2">
        <f>'[396]Parts 4 - 5 '!$C$45</f>
        <v>498475.8744703125</v>
      </c>
      <c r="AK47" s="4">
        <f t="shared" ref="AK47" si="760">((+D47+AJ47)-AB47)/D47</f>
        <v>0.1337122256035396</v>
      </c>
      <c r="AL47" s="4">
        <f t="shared" ref="AL47" si="761">+S47/$D47</f>
        <v>0.900892624910274</v>
      </c>
      <c r="AM47" s="4">
        <f t="shared" ref="AM47" si="762">+T47/$D47</f>
        <v>4.5723124410352881E-2</v>
      </c>
      <c r="AN47" s="4">
        <f t="shared" ref="AN47" si="763">+U47/$D47</f>
        <v>2.1940508483571725E-2</v>
      </c>
      <c r="AO47" s="4">
        <f t="shared" ref="AO47" si="764">+V47/$D47</f>
        <v>8.6372643247097959E-3</v>
      </c>
      <c r="AP47" s="4">
        <f t="shared" ref="AP47" si="765">+W47/$D47</f>
        <v>8.2573908656823018E-3</v>
      </c>
      <c r="AQ47" s="4">
        <f t="shared" ref="AQ47" si="766">+X47/$D47</f>
        <v>1.6372071351806589E-3</v>
      </c>
      <c r="AR47" s="4">
        <f t="shared" ref="AR47" si="767">+Y47/$D47</f>
        <v>1.2245256358956096E-3</v>
      </c>
    </row>
    <row r="48" spans="1:44" x14ac:dyDescent="0.25">
      <c r="A48">
        <f t="shared" si="360"/>
        <v>44</v>
      </c>
      <c r="B48" s="3">
        <f t="shared" si="599"/>
        <v>44844</v>
      </c>
      <c r="C48" s="41">
        <v>1866</v>
      </c>
      <c r="D48" s="2">
        <v>46455150.030000001</v>
      </c>
      <c r="E48" s="32">
        <v>6.2799999999999995E-2</v>
      </c>
      <c r="F48" s="8">
        <f t="shared" ref="F48" si="768">+D48/$D$4</f>
        <v>0.77425155397747525</v>
      </c>
      <c r="G48" s="2">
        <v>180560.24</v>
      </c>
      <c r="H48" s="8"/>
      <c r="I48" s="8"/>
      <c r="J48" s="8"/>
      <c r="K48" s="8"/>
      <c r="L48" s="8"/>
      <c r="M48" s="8"/>
      <c r="N48" s="6">
        <f t="shared" ref="N48" si="769">G48/D47</f>
        <v>3.8594225179711165E-3</v>
      </c>
      <c r="O48" s="6">
        <f t="shared" ref="O48" si="770">1-(+N48-1)^12</f>
        <v>4.5342528746470268E-2</v>
      </c>
      <c r="P48" s="20">
        <f t="shared" ref="P48" si="771">AVERAGE(O46:O48)</f>
        <v>4.0651985107904909E-2</v>
      </c>
      <c r="Q48" s="20">
        <f t="shared" ref="Q48" si="772">AVERAGE(O43:O48)</f>
        <v>3.0909235950503416E-2</v>
      </c>
      <c r="R48" s="17">
        <f t="shared" ref="R48" si="773">AVERAGE(O37:O48)</f>
        <v>2.8130047249955936E-2</v>
      </c>
      <c r="S48" s="26">
        <v>41781325</v>
      </c>
      <c r="T48" s="26">
        <v>2077658</v>
      </c>
      <c r="U48" s="26">
        <v>1132338</v>
      </c>
      <c r="V48" s="26">
        <v>552330</v>
      </c>
      <c r="W48" s="26">
        <v>248594</v>
      </c>
      <c r="X48" s="26">
        <v>111499</v>
      </c>
      <c r="Y48" s="26">
        <v>8826.4</v>
      </c>
      <c r="Z48" s="26">
        <f t="shared" ref="Z48" si="774">Z47+Y48</f>
        <v>934492.37999999989</v>
      </c>
      <c r="AA48" s="4">
        <f t="shared" ref="AA48" si="775">Z48/$D$4</f>
        <v>1.5574853959741033E-2</v>
      </c>
      <c r="AB48" s="2">
        <v>40750426.890000001</v>
      </c>
      <c r="AC48" s="8">
        <f t="shared" ref="AC48" si="776">+AB48/$AB$4</f>
        <v>0.73823237119565221</v>
      </c>
      <c r="AD48" s="2">
        <f t="shared" ref="AD48" si="777">AB48*$AD$2</f>
        <v>33220456.703804348</v>
      </c>
      <c r="AE48" s="2">
        <v>3600000</v>
      </c>
      <c r="AF48" s="8">
        <f t="shared" ref="AF48" si="778">+AE48/$AE$4</f>
        <v>1</v>
      </c>
      <c r="AG48" s="2">
        <v>1200000</v>
      </c>
      <c r="AH48" s="8">
        <f t="shared" ref="AH48" si="779">+AG48/$AG$4</f>
        <v>1</v>
      </c>
      <c r="AI48" s="8">
        <f t="shared" ref="AI48" si="780">+AB48/D48</f>
        <v>0.87719933879632328</v>
      </c>
      <c r="AJ48" s="2">
        <v>493094.59</v>
      </c>
      <c r="AK48" s="4">
        <f t="shared" ref="AK48" si="781">((+D48+AJ48)-AB48)/D48</f>
        <v>0.13341508370971897</v>
      </c>
      <c r="AL48" s="4">
        <f t="shared" ref="AL48" si="782">+S48/$D48</f>
        <v>0.89939059443394931</v>
      </c>
      <c r="AM48" s="4">
        <f t="shared" ref="AM48" si="783">+T48/$D48</f>
        <v>4.472395415057924E-2</v>
      </c>
      <c r="AN48" s="4">
        <f t="shared" ref="AN48" si="784">+U48/$D48</f>
        <v>2.4374864773200691E-2</v>
      </c>
      <c r="AO48" s="4">
        <f t="shared" ref="AO48" si="785">+V48/$D48</f>
        <v>1.1889532153987534E-2</v>
      </c>
      <c r="AP48" s="4">
        <f t="shared" ref="AP48" si="786">+W48/$D48</f>
        <v>5.3512689086024244E-3</v>
      </c>
      <c r="AQ48" s="4">
        <f t="shared" ref="AQ48" si="787">+X48/$D48</f>
        <v>2.4001429320106749E-3</v>
      </c>
      <c r="AR48" s="4">
        <f t="shared" ref="AR48" si="788">+Y48/$D48</f>
        <v>1.899983100754179E-4</v>
      </c>
    </row>
    <row r="49" spans="1:44" x14ac:dyDescent="0.25">
      <c r="A49">
        <f t="shared" si="360"/>
        <v>45</v>
      </c>
      <c r="B49" s="3">
        <f t="shared" si="599"/>
        <v>44872</v>
      </c>
      <c r="C49" s="41">
        <v>1861</v>
      </c>
      <c r="D49" s="2">
        <v>46276315.920000002</v>
      </c>
      <c r="E49" s="32">
        <v>6.2700000000000006E-2</v>
      </c>
      <c r="F49" s="8">
        <f t="shared" ref="F49" si="789">+D49/$D$4</f>
        <v>0.77127098912121583</v>
      </c>
      <c r="G49" s="2">
        <v>17076.5</v>
      </c>
      <c r="H49" s="8"/>
      <c r="I49" s="8"/>
      <c r="J49" s="8"/>
      <c r="K49" s="8"/>
      <c r="L49" s="8"/>
      <c r="M49" s="8"/>
      <c r="N49" s="6">
        <f t="shared" ref="N49" si="790">G49/D48</f>
        <v>3.6759110645369277E-4</v>
      </c>
      <c r="O49" s="6">
        <f t="shared" ref="O49" si="791">1-(+N49-1)^12</f>
        <v>4.4021860632108556E-3</v>
      </c>
      <c r="P49" s="20">
        <f t="shared" ref="P49" si="792">AVERAGE(O47:O49)</f>
        <v>3.7912234963393278E-2</v>
      </c>
      <c r="Q49" s="20">
        <f t="shared" ref="Q49" si="793">AVERAGE(O44:O49)</f>
        <v>2.8868435243759427E-2</v>
      </c>
      <c r="R49" s="17">
        <f t="shared" ref="R49" si="794">AVERAGE(O38:O49)</f>
        <v>2.7002030727567839E-2</v>
      </c>
      <c r="S49" s="26">
        <v>41485953</v>
      </c>
      <c r="T49" s="26">
        <v>2309030</v>
      </c>
      <c r="U49" s="26">
        <v>994580</v>
      </c>
      <c r="V49" s="26">
        <v>552169</v>
      </c>
      <c r="W49" s="26">
        <v>193585</v>
      </c>
      <c r="X49" s="26">
        <v>149626</v>
      </c>
      <c r="Y49" s="26">
        <v>31139.77</v>
      </c>
      <c r="Z49" s="26">
        <f t="shared" ref="Z49" si="795">Z48+Y49</f>
        <v>965632.14999999991</v>
      </c>
      <c r="AA49" s="4">
        <f t="shared" ref="AA49" si="796">Z49/$D$4</f>
        <v>1.6093849491935659E-2</v>
      </c>
      <c r="AB49" s="2">
        <v>40531626.609999999</v>
      </c>
      <c r="AC49" s="8">
        <f t="shared" ref="AC49" si="797">+AB49/$AB$4</f>
        <v>0.73426859800724642</v>
      </c>
      <c r="AD49" s="2">
        <f t="shared" ref="AD49" si="798">AB49*$AD$2</f>
        <v>33042086.910326086</v>
      </c>
      <c r="AE49" s="2">
        <v>3600000</v>
      </c>
      <c r="AF49" s="8">
        <f t="shared" ref="AF49" si="799">+AE49/$AE$4</f>
        <v>1</v>
      </c>
      <c r="AG49" s="2">
        <v>1200000</v>
      </c>
      <c r="AH49" s="8">
        <f t="shared" ref="AH49" si="800">+AG49/$AG$4</f>
        <v>1</v>
      </c>
      <c r="AI49" s="8">
        <f t="shared" ref="AI49" si="801">+AB49/D49</f>
        <v>0.87586113553353917</v>
      </c>
      <c r="AJ49" s="2">
        <v>489769.19</v>
      </c>
      <c r="AK49" s="4">
        <f t="shared" ref="AK49" si="802">((+D49+AJ49)-AB49)/D49</f>
        <v>0.13472244659185478</v>
      </c>
      <c r="AL49" s="4">
        <f t="shared" ref="AL49" si="803">+S49/$D49</f>
        <v>0.896483485671562</v>
      </c>
      <c r="AM49" s="4">
        <f t="shared" ref="AM49" si="804">+T49/$D49</f>
        <v>4.9896582173734973E-2</v>
      </c>
      <c r="AN49" s="4">
        <f t="shared" ref="AN49" si="805">+U49/$D49</f>
        <v>2.1492203521978202E-2</v>
      </c>
      <c r="AO49" s="4">
        <f t="shared" ref="AO49" si="806">+V49/$D49</f>
        <v>1.193199996634477E-2</v>
      </c>
      <c r="AP49" s="4">
        <f t="shared" ref="AP49" si="807">+W49/$D49</f>
        <v>4.1832413871203426E-3</v>
      </c>
      <c r="AQ49" s="4">
        <f t="shared" ref="AQ49" si="808">+X49/$D49</f>
        <v>3.2333170224411417E-3</v>
      </c>
      <c r="AR49" s="4">
        <f t="shared" ref="AR49" si="809">+Y49/$D49</f>
        <v>6.7290944365218602E-4</v>
      </c>
    </row>
    <row r="50" spans="1:44" x14ac:dyDescent="0.25">
      <c r="A50">
        <f t="shared" si="360"/>
        <v>46</v>
      </c>
      <c r="B50" s="3">
        <f t="shared" si="599"/>
        <v>44900</v>
      </c>
      <c r="C50" s="41">
        <v>1851</v>
      </c>
      <c r="D50" s="2">
        <v>45980969.710000001</v>
      </c>
      <c r="E50" s="32">
        <v>6.2600000000000003E-2</v>
      </c>
      <c r="F50" s="8">
        <f t="shared" ref="F50" si="810">+D50/$D$4</f>
        <v>0.76634855830555415</v>
      </c>
      <c r="G50" s="2">
        <v>175805.8</v>
      </c>
      <c r="H50" s="8"/>
      <c r="I50" s="8"/>
      <c r="J50" s="8"/>
      <c r="K50" s="8"/>
      <c r="L50" s="8"/>
      <c r="M50" s="8"/>
      <c r="N50" s="6">
        <f t="shared" ref="N50" si="811">G50/D49</f>
        <v>3.7990448570695118E-3</v>
      </c>
      <c r="O50" s="6">
        <f t="shared" ref="O50" si="812">1-(+N50-1)^12</f>
        <v>4.4647937577197427E-2</v>
      </c>
      <c r="P50" s="20">
        <f t="shared" ref="P50" si="813">AVERAGE(O48:O50)</f>
        <v>3.1464217462292852E-2</v>
      </c>
      <c r="Q50" s="20">
        <f t="shared" ref="Q50" si="814">AVERAGE(O45:O50)</f>
        <v>3.3047142283167054E-2</v>
      </c>
      <c r="R50" s="17">
        <f t="shared" ref="R50" si="815">AVERAGE(O39:O50)</f>
        <v>2.6683987721890391E-2</v>
      </c>
      <c r="S50" s="26">
        <v>41587045</v>
      </c>
      <c r="T50" s="26">
        <v>1779788</v>
      </c>
      <c r="U50" s="26">
        <v>1014985</v>
      </c>
      <c r="V50" s="26">
        <v>595254</v>
      </c>
      <c r="W50" s="26">
        <v>250905</v>
      </c>
      <c r="X50" s="26">
        <v>98988</v>
      </c>
      <c r="Y50" s="26">
        <v>59423.07</v>
      </c>
      <c r="Z50" s="26">
        <f t="shared" ref="Z50" si="816">Z49+Y50</f>
        <v>1025055.2199999999</v>
      </c>
      <c r="AA50" s="4">
        <f t="shared" ref="AA50" si="817">Z50/$D$4</f>
        <v>1.7084232781192088E-2</v>
      </c>
      <c r="AB50" s="2">
        <v>40188801.32</v>
      </c>
      <c r="AC50" s="8">
        <f t="shared" ref="AC50" si="818">+AB50/$AB$4</f>
        <v>0.7280579949275362</v>
      </c>
      <c r="AD50" s="2">
        <f t="shared" ref="AD50" si="819">AB50*$AD$2</f>
        <v>32762609.771739129</v>
      </c>
      <c r="AE50" s="2">
        <v>3600000</v>
      </c>
      <c r="AF50" s="8">
        <f t="shared" ref="AF50" si="820">+AE50/$AE$4</f>
        <v>1</v>
      </c>
      <c r="AG50" s="2">
        <v>1200000</v>
      </c>
      <c r="AH50" s="8">
        <f t="shared" ref="AH50" si="821">+AG50/$AG$4</f>
        <v>1</v>
      </c>
      <c r="AI50" s="8">
        <f t="shared" ref="AI50" si="822">+AB50/D50</f>
        <v>0.87403118232323163</v>
      </c>
      <c r="AJ50" s="2">
        <v>487139.49</v>
      </c>
      <c r="AK50" s="4">
        <f t="shared" ref="AK50" si="823">((+D50+AJ50)-AB50)/D50</f>
        <v>0.1365631895021642</v>
      </c>
      <c r="AL50" s="4">
        <f t="shared" ref="AL50" si="824">+S50/$D50</f>
        <v>0.90444036440048359</v>
      </c>
      <c r="AM50" s="4">
        <f t="shared" ref="AM50" si="825">+T50/$D50</f>
        <v>3.870705666333369E-2</v>
      </c>
      <c r="AN50" s="4">
        <f t="shared" ref="AN50" si="826">+U50/$D50</f>
        <v>2.2074023371004718E-2</v>
      </c>
      <c r="AO50" s="4">
        <f t="shared" ref="AO50" si="827">+V50/$D50</f>
        <v>1.294565999269353E-2</v>
      </c>
      <c r="AP50" s="4">
        <f t="shared" ref="AP50" si="828">+W50/$D50</f>
        <v>5.4567139749867617E-3</v>
      </c>
      <c r="AQ50" s="4">
        <f t="shared" ref="AQ50" si="829">+X50/$D50</f>
        <v>2.1528036625654712E-3</v>
      </c>
      <c r="AR50" s="4">
        <f t="shared" ref="AR50" si="830">+Y50/$D50</f>
        <v>1.2923405133640883E-3</v>
      </c>
    </row>
    <row r="51" spans="1:44" x14ac:dyDescent="0.25">
      <c r="A51">
        <f t="shared" si="360"/>
        <v>47</v>
      </c>
      <c r="B51" s="3">
        <f t="shared" si="599"/>
        <v>44928</v>
      </c>
      <c r="C51" s="41">
        <v>1844</v>
      </c>
      <c r="D51" s="2">
        <v>45728817.5</v>
      </c>
      <c r="E51" s="32">
        <v>6.2600000000000003E-2</v>
      </c>
      <c r="F51" s="8">
        <f t="shared" ref="F51" si="831">+D51/$D$4</f>
        <v>0.76214602660981579</v>
      </c>
      <c r="G51" s="2">
        <v>113111.96</v>
      </c>
      <c r="H51" s="8"/>
      <c r="I51" s="8"/>
      <c r="J51" s="8"/>
      <c r="K51" s="8"/>
      <c r="L51" s="8"/>
      <c r="M51" s="8"/>
      <c r="N51" s="6">
        <f t="shared" ref="N51" si="832">G51/D50</f>
        <v>2.4599733479609559E-3</v>
      </c>
      <c r="O51" s="6">
        <f t="shared" ref="O51" si="833">1-(+N51-1)^12</f>
        <v>2.9123540193513153E-2</v>
      </c>
      <c r="P51" s="20">
        <f t="shared" ref="P51" si="834">AVERAGE(O49:O51)</f>
        <v>2.6057887944640479E-2</v>
      </c>
      <c r="Q51" s="20">
        <f t="shared" ref="Q51" si="835">AVERAGE(O46:O51)</f>
        <v>3.3354936526272694E-2</v>
      </c>
      <c r="R51" s="17">
        <f t="shared" ref="R51" si="836">AVERAGE(O40:O51)</f>
        <v>2.6816540837084891E-2</v>
      </c>
      <c r="S51" s="26">
        <v>41129437</v>
      </c>
      <c r="T51" s="26">
        <v>2073826</v>
      </c>
      <c r="U51" s="26">
        <v>940107</v>
      </c>
      <c r="V51" s="26">
        <v>572564</v>
      </c>
      <c r="W51" s="26">
        <v>259514</v>
      </c>
      <c r="X51" s="26">
        <v>170391</v>
      </c>
      <c r="Y51" s="26">
        <v>23945.17</v>
      </c>
      <c r="Z51" s="26">
        <f t="shared" ref="Z51" si="837">Z50+Y51</f>
        <v>1049000.3899999999</v>
      </c>
      <c r="AA51" s="4">
        <f t="shared" ref="AA51" si="838">Z51/$D$4</f>
        <v>1.7483318459976513E-2</v>
      </c>
      <c r="AB51" s="2">
        <v>39992301.969999999</v>
      </c>
      <c r="AC51" s="8">
        <f t="shared" ref="AC51" si="839">+AB51/$AB$4</f>
        <v>0.72449822409420284</v>
      </c>
      <c r="AD51" s="2">
        <f t="shared" ref="AD51" si="840">AB51*$AD$2</f>
        <v>32602420.084239129</v>
      </c>
      <c r="AE51" s="2">
        <v>3600000</v>
      </c>
      <c r="AF51" s="8">
        <f t="shared" ref="AF51" si="841">+AE51/$AE$4</f>
        <v>1</v>
      </c>
      <c r="AG51" s="2">
        <v>1200000</v>
      </c>
      <c r="AH51" s="8">
        <f t="shared" ref="AH51" si="842">+AG51/$AG$4</f>
        <v>1</v>
      </c>
      <c r="AI51" s="8">
        <f t="shared" ref="AI51" si="843">+AB51/D51</f>
        <v>0.87455360003568861</v>
      </c>
      <c r="AJ51" s="2">
        <f t="shared" ref="AJ51:AJ56" si="844">(AB50*4.8075%*30/360)*3</f>
        <v>483019.15586474998</v>
      </c>
      <c r="AK51" s="4">
        <f t="shared" ref="AK51" si="845">((+D51+AJ51)-AB51)/D51</f>
        <v>0.13600908630241212</v>
      </c>
      <c r="AL51" s="4">
        <f t="shared" ref="AL51" si="846">+S51/$D51</f>
        <v>0.89942052404919504</v>
      </c>
      <c r="AM51" s="4">
        <f t="shared" ref="AM51" si="847">+T51/$D51</f>
        <v>4.5350527596739187E-2</v>
      </c>
      <c r="AN51" s="4">
        <f t="shared" ref="AN51" si="848">+U51/$D51</f>
        <v>2.055830549302964E-2</v>
      </c>
      <c r="AO51" s="4">
        <f t="shared" ref="AO51" si="849">+V51/$D51</f>
        <v>1.2520857334655548E-2</v>
      </c>
      <c r="AP51" s="4">
        <f t="shared" ref="AP51" si="850">+W51/$D51</f>
        <v>5.6750647444579125E-3</v>
      </c>
      <c r="AQ51" s="4">
        <f t="shared" ref="AQ51" si="851">+X51/$D51</f>
        <v>3.726118655921947E-3</v>
      </c>
      <c r="AR51" s="4">
        <f t="shared" ref="AR51" si="852">+Y51/$D51</f>
        <v>5.2363413945702832E-4</v>
      </c>
    </row>
    <row r="52" spans="1:44" x14ac:dyDescent="0.25">
      <c r="A52">
        <f t="shared" si="360"/>
        <v>48</v>
      </c>
      <c r="B52" s="3">
        <f t="shared" ref="B52:B57" si="853">+B51+30</f>
        <v>44958</v>
      </c>
      <c r="C52" s="41">
        <v>1836</v>
      </c>
      <c r="D52" s="2">
        <v>45432497.710000001</v>
      </c>
      <c r="E52" s="32">
        <v>6.2600000000000003E-2</v>
      </c>
      <c r="F52" s="8">
        <f t="shared" ref="F52" si="854">+D52/$D$4</f>
        <v>0.75720736948065748</v>
      </c>
      <c r="G52" s="2">
        <v>160166.48000000001</v>
      </c>
      <c r="H52" s="8"/>
      <c r="I52" s="8"/>
      <c r="J52" s="8"/>
      <c r="K52" s="8"/>
      <c r="L52" s="8"/>
      <c r="M52" s="8"/>
      <c r="N52" s="6">
        <f t="shared" ref="N52" si="855">G52/D51</f>
        <v>3.5025283564351956E-3</v>
      </c>
      <c r="O52" s="6">
        <f t="shared" ref="O52" si="856">1-(+N52-1)^12</f>
        <v>4.1230050631139048E-2</v>
      </c>
      <c r="P52" s="20">
        <f t="shared" ref="P52" si="857">AVERAGE(O50:O52)</f>
        <v>3.8333842800616545E-2</v>
      </c>
      <c r="Q52" s="20">
        <f t="shared" ref="Q52" si="858">AVERAGE(O47:O52)</f>
        <v>3.8123038882004912E-2</v>
      </c>
      <c r="R52" s="17">
        <f t="shared" ref="R52" si="859">AVERAGE(O41:O52)</f>
        <v>2.8900770038606537E-2</v>
      </c>
      <c r="S52" s="26">
        <v>41258215</v>
      </c>
      <c r="T52" s="26">
        <v>1520457</v>
      </c>
      <c r="U52" s="26">
        <v>1249374</v>
      </c>
      <c r="V52" s="26">
        <v>375665</v>
      </c>
      <c r="W52" s="26">
        <v>252110</v>
      </c>
      <c r="X52" s="26">
        <v>113305</v>
      </c>
      <c r="Y52" s="26">
        <v>72174.33</v>
      </c>
      <c r="Z52" s="26">
        <f t="shared" ref="Z52" si="860">Z51+Y52</f>
        <v>1121174.72</v>
      </c>
      <c r="AA52" s="4">
        <f t="shared" ref="AA52" si="861">Z52/$D$4</f>
        <v>1.8686222489426339E-2</v>
      </c>
      <c r="AB52" s="2">
        <v>39649264</v>
      </c>
      <c r="AC52" s="8">
        <f t="shared" ref="AC52" si="862">+AB52/$AB$4</f>
        <v>0.71828376811594208</v>
      </c>
      <c r="AD52" s="2">
        <f t="shared" ref="AD52" si="863">AB52*$AD$2</f>
        <v>32322769.565217391</v>
      </c>
      <c r="AE52" s="2">
        <v>3600000</v>
      </c>
      <c r="AF52" s="8">
        <f t="shared" ref="AF52" si="864">+AE52/$AE$4</f>
        <v>1</v>
      </c>
      <c r="AG52" s="2">
        <v>1200000</v>
      </c>
      <c r="AH52" s="8">
        <f t="shared" ref="AH52" si="865">+AG52/$AG$4</f>
        <v>1</v>
      </c>
      <c r="AI52" s="8">
        <f t="shared" ref="AI52" si="866">+AB52/D52</f>
        <v>0.87270711491771957</v>
      </c>
      <c r="AJ52" s="2">
        <f t="shared" si="844"/>
        <v>480657.47930193751</v>
      </c>
      <c r="AK52" s="4">
        <f t="shared" ref="AK52" si="867">((+D52+AJ52)-AB52)/D52</f>
        <v>0.13787248126407131</v>
      </c>
      <c r="AL52" s="4">
        <f t="shared" ref="AL52" si="868">+S52/$D52</f>
        <v>0.90812121454019878</v>
      </c>
      <c r="AM52" s="4">
        <f t="shared" ref="AM52" si="869">+T52/$D52</f>
        <v>3.3466286835146575E-2</v>
      </c>
      <c r="AN52" s="4">
        <f t="shared" ref="AN52" si="870">+U52/$D52</f>
        <v>2.7499566675265673E-2</v>
      </c>
      <c r="AO52" s="4">
        <f t="shared" ref="AO52" si="871">+V52/$D52</f>
        <v>8.2686407073171674E-3</v>
      </c>
      <c r="AP52" s="4">
        <f t="shared" ref="AP52" si="872">+W52/$D52</f>
        <v>5.5491115986896064E-3</v>
      </c>
      <c r="AQ52" s="4">
        <f t="shared" ref="AQ52" si="873">+X52/$D52</f>
        <v>2.4939196766868665E-3</v>
      </c>
      <c r="AR52" s="4">
        <f t="shared" ref="AR52" si="874">+Y52/$D52</f>
        <v>1.5886058138536799E-3</v>
      </c>
    </row>
    <row r="53" spans="1:44" x14ac:dyDescent="0.25">
      <c r="A53">
        <f t="shared" si="360"/>
        <v>49</v>
      </c>
      <c r="B53" s="3">
        <f t="shared" si="853"/>
        <v>44988</v>
      </c>
      <c r="C53" s="41">
        <v>1831</v>
      </c>
      <c r="D53" s="2">
        <v>45274446.280000001</v>
      </c>
      <c r="E53" s="32">
        <v>6.2600000000000003E-2</v>
      </c>
      <c r="F53" s="8">
        <f t="shared" ref="F53" si="875">+D53/$D$4</f>
        <v>0.75457318220095138</v>
      </c>
      <c r="G53" s="2">
        <v>22738.18</v>
      </c>
      <c r="H53" s="8"/>
      <c r="I53" s="8"/>
      <c r="J53" s="8"/>
      <c r="K53" s="8"/>
      <c r="L53" s="8"/>
      <c r="M53" s="8"/>
      <c r="N53" s="6">
        <f t="shared" ref="N53" si="876">G53/D52</f>
        <v>5.0048271933319599E-4</v>
      </c>
      <c r="O53" s="6">
        <f t="shared" ref="O53" si="877">1-(+N53-1)^12</f>
        <v>5.9892883058366708E-3</v>
      </c>
      <c r="P53" s="20">
        <f t="shared" ref="P53" si="878">AVERAGE(O51:O53)</f>
        <v>2.5447626376829624E-2</v>
      </c>
      <c r="Q53" s="20">
        <f t="shared" ref="Q53" si="879">AVERAGE(O48:O53)</f>
        <v>2.8455921919561238E-2</v>
      </c>
      <c r="R53" s="17">
        <f t="shared" ref="R53" si="880">AVERAGE(O42:O53)</f>
        <v>2.8315701229364498E-2</v>
      </c>
      <c r="S53" s="26">
        <v>40825670</v>
      </c>
      <c r="T53" s="26">
        <v>2025189</v>
      </c>
      <c r="U53" s="26">
        <v>856159</v>
      </c>
      <c r="V53" s="26">
        <v>460000</v>
      </c>
      <c r="W53" s="26">
        <v>324951</v>
      </c>
      <c r="X53" s="26">
        <v>180670</v>
      </c>
      <c r="Y53" s="26">
        <v>87248.86</v>
      </c>
      <c r="Z53" s="26">
        <f t="shared" ref="Z53" si="881">Z52+Y53</f>
        <v>1208423.58</v>
      </c>
      <c r="AA53" s="4">
        <f t="shared" ref="AA53" si="882">Z53/$D$4</f>
        <v>2.0140368378399658E-2</v>
      </c>
      <c r="AB53" s="2">
        <v>39509810.549999997</v>
      </c>
      <c r="AC53" s="8">
        <f t="shared" ref="AC53" si="883">+AB53/$AB$4</f>
        <v>0.71575743749999998</v>
      </c>
      <c r="AD53" s="2">
        <f t="shared" ref="AD53" si="884">AB53*$AD$2</f>
        <v>32209084.687499996</v>
      </c>
      <c r="AE53" s="2">
        <v>3600000</v>
      </c>
      <c r="AF53" s="8">
        <f t="shared" ref="AF53" si="885">+AE53/$AE$4</f>
        <v>1</v>
      </c>
      <c r="AG53" s="2">
        <v>1200000</v>
      </c>
      <c r="AH53" s="8">
        <f t="shared" ref="AH53" si="886">+AG53/$AG$4</f>
        <v>1</v>
      </c>
      <c r="AI53" s="8">
        <f t="shared" ref="AI53" si="887">+AB53/D53</f>
        <v>0.87267352328621339</v>
      </c>
      <c r="AJ53" s="2">
        <f t="shared" si="844"/>
        <v>476534.59169999999</v>
      </c>
      <c r="AK53" s="4">
        <f t="shared" ref="AK53" si="888">((+D53+AJ53)-AB53)/D53</f>
        <v>0.13785194153676586</v>
      </c>
      <c r="AL53" s="4">
        <f t="shared" ref="AL53" si="889">+S53/$D53</f>
        <v>0.90173758829679496</v>
      </c>
      <c r="AM53" s="4">
        <f t="shared" ref="AM53" si="890">+T53/$D53</f>
        <v>4.473139190869857E-2</v>
      </c>
      <c r="AN53" s="4">
        <f t="shared" ref="AN53" si="891">+U53/$D53</f>
        <v>1.891042454070186E-2</v>
      </c>
      <c r="AO53" s="4">
        <f t="shared" ref="AO53" si="892">+V53/$D53</f>
        <v>1.0160256784922958E-2</v>
      </c>
      <c r="AP53" s="4">
        <f t="shared" ref="AP53" si="893">+W53/$D53</f>
        <v>7.1773600054728269E-3</v>
      </c>
      <c r="AQ53" s="4">
        <f t="shared" ref="AQ53" si="894">+X53/$D53</f>
        <v>3.9905512898522413E-3</v>
      </c>
      <c r="AR53" s="4">
        <f t="shared" ref="AR53" si="895">+Y53/$D53</f>
        <v>1.9271104821560723E-3</v>
      </c>
    </row>
    <row r="54" spans="1:44" x14ac:dyDescent="0.25">
      <c r="A54">
        <f t="shared" si="360"/>
        <v>50</v>
      </c>
      <c r="B54" s="3">
        <f t="shared" si="853"/>
        <v>45018</v>
      </c>
      <c r="C54" s="41">
        <v>1823</v>
      </c>
      <c r="D54" s="2">
        <v>44893925.780000001</v>
      </c>
      <c r="E54" s="32">
        <v>6.2600000000000003E-2</v>
      </c>
      <c r="F54" s="8">
        <f t="shared" ref="F54" si="896">+D54/$D$4</f>
        <v>0.74823118162071378</v>
      </c>
      <c r="G54" s="2">
        <v>219365.17</v>
      </c>
      <c r="H54" s="8"/>
      <c r="I54" s="8"/>
      <c r="J54" s="8"/>
      <c r="K54" s="8"/>
      <c r="L54" s="8"/>
      <c r="M54" s="8"/>
      <c r="N54" s="6">
        <f t="shared" ref="N54" si="897">G54/D53</f>
        <v>4.845231427974518E-3</v>
      </c>
      <c r="O54" s="6">
        <f t="shared" ref="O54" si="898">1-(+N54-1)^12</f>
        <v>5.6618097314751203E-2</v>
      </c>
      <c r="P54" s="20">
        <f t="shared" ref="P54" si="899">AVERAGE(O52:O54)</f>
        <v>3.4612478750575638E-2</v>
      </c>
      <c r="Q54" s="20">
        <f t="shared" ref="Q54" si="900">AVERAGE(O49:O54)</f>
        <v>3.0335183347608059E-2</v>
      </c>
      <c r="R54" s="17">
        <f t="shared" ref="R54" si="901">AVERAGE(O43:O54)</f>
        <v>3.0622209649055737E-2</v>
      </c>
      <c r="S54" s="26">
        <v>40409934</v>
      </c>
      <c r="T54" s="26">
        <v>1904609</v>
      </c>
      <c r="U54" s="26">
        <v>1107077</v>
      </c>
      <c r="V54" s="26">
        <v>396511</v>
      </c>
      <c r="W54" s="26">
        <v>222632</v>
      </c>
      <c r="X54" s="26">
        <v>147639</v>
      </c>
      <c r="Y54" s="26">
        <v>38093.65</v>
      </c>
      <c r="Z54" s="26">
        <f t="shared" ref="Z54" si="902">Z53+Y54</f>
        <v>1246517.23</v>
      </c>
      <c r="AA54" s="4">
        <f t="shared" ref="AA54" si="903">Z54/$D$4</f>
        <v>2.0775261768909155E-2</v>
      </c>
      <c r="AB54" s="2">
        <v>39075445.43</v>
      </c>
      <c r="AC54" s="8">
        <f t="shared" ref="AC54" si="904">+AB54/$AB$4</f>
        <v>0.70788850416666671</v>
      </c>
      <c r="AD54" s="2">
        <f t="shared" ref="AD54" si="905">AB54*$AD$2</f>
        <v>31854982.687499996</v>
      </c>
      <c r="AE54" s="2">
        <v>3600000</v>
      </c>
      <c r="AF54" s="8">
        <f t="shared" ref="AF54" si="906">+AE54/$AE$4</f>
        <v>1</v>
      </c>
      <c r="AG54" s="2">
        <v>1200000</v>
      </c>
      <c r="AH54" s="8">
        <f t="shared" ref="AH54" si="907">+AG54/$AG$4</f>
        <v>1</v>
      </c>
      <c r="AI54" s="8">
        <f t="shared" ref="AI54" si="908">+AB54/D54</f>
        <v>0.87039493096431098</v>
      </c>
      <c r="AJ54" s="2">
        <f t="shared" si="844"/>
        <v>474858.53554781247</v>
      </c>
      <c r="AK54" s="4">
        <f t="shared" ref="AK54" si="909">((+D54+AJ54)-AB54)/D54</f>
        <v>0.14018241390579089</v>
      </c>
      <c r="AL54" s="4">
        <f t="shared" ref="AL54" si="910">+S54/$D54</f>
        <v>0.90012030130816501</v>
      </c>
      <c r="AM54" s="4">
        <f t="shared" ref="AM54" si="911">+T54/$D54</f>
        <v>4.2424648032195325E-2</v>
      </c>
      <c r="AN54" s="4">
        <f t="shared" ref="AN54" si="912">+U54/$D54</f>
        <v>2.4659839405116065E-2</v>
      </c>
      <c r="AO54" s="4">
        <f t="shared" ref="AO54" si="913">+V54/$D54</f>
        <v>8.8321748011764099E-3</v>
      </c>
      <c r="AP54" s="4">
        <f t="shared" ref="AP54" si="914">+W54/$D54</f>
        <v>4.9590673154981989E-3</v>
      </c>
      <c r="AQ54" s="4">
        <f t="shared" ref="AQ54" si="915">+X54/$D54</f>
        <v>3.2886186145425571E-3</v>
      </c>
      <c r="AR54" s="4">
        <f t="shared" ref="AR54" si="916">+Y54/$D54</f>
        <v>8.4852570449453794E-4</v>
      </c>
    </row>
    <row r="55" spans="1:44" x14ac:dyDescent="0.25">
      <c r="A55">
        <f t="shared" si="360"/>
        <v>51</v>
      </c>
      <c r="B55" s="3">
        <f t="shared" si="853"/>
        <v>45048</v>
      </c>
      <c r="C55" s="41">
        <v>1815</v>
      </c>
      <c r="D55" s="2">
        <v>44548691.539999999</v>
      </c>
      <c r="E55" s="32">
        <v>6.2600000000000003E-2</v>
      </c>
      <c r="F55" s="8">
        <f t="shared" ref="F55" si="917">+D55/$D$4</f>
        <v>0.74247728465485285</v>
      </c>
      <c r="G55" s="2">
        <v>197030.71</v>
      </c>
      <c r="H55" s="8"/>
      <c r="I55" s="8"/>
      <c r="J55" s="8"/>
      <c r="K55" s="8"/>
      <c r="L55" s="8"/>
      <c r="M55" s="8"/>
      <c r="N55" s="6">
        <f t="shared" ref="N55" si="918">G55/D54</f>
        <v>4.3888055360882718E-3</v>
      </c>
      <c r="O55" s="6">
        <f t="shared" ref="O55" si="919">1-(+N55-1)^12</f>
        <v>5.1412815345256435E-2</v>
      </c>
      <c r="P55" s="20">
        <f t="shared" ref="P55" si="920">AVERAGE(O53:O55)</f>
        <v>3.8006733655281434E-2</v>
      </c>
      <c r="Q55" s="20">
        <f t="shared" ref="Q55" si="921">AVERAGE(O50:O55)</f>
        <v>3.817028822794899E-2</v>
      </c>
      <c r="R55" s="17">
        <f t="shared" ref="R55" si="922">AVERAGE(O44:O55)</f>
        <v>3.3519361735854208E-2</v>
      </c>
      <c r="S55" s="26">
        <v>39970600</v>
      </c>
      <c r="T55" s="26">
        <v>1650113</v>
      </c>
      <c r="U55" s="26">
        <v>1201111</v>
      </c>
      <c r="V55" s="26">
        <v>604133</v>
      </c>
      <c r="W55" s="26">
        <v>375177</v>
      </c>
      <c r="X55" s="26">
        <v>68654</v>
      </c>
      <c r="Y55" s="26">
        <v>0</v>
      </c>
      <c r="Z55" s="26">
        <f t="shared" ref="Z55" si="923">Z54+Y55</f>
        <v>1246517.23</v>
      </c>
      <c r="AA55" s="4">
        <f t="shared" ref="AA55" si="924">Z55/$D$4</f>
        <v>2.0775261768909155E-2</v>
      </c>
      <c r="AB55" s="2">
        <v>38716025.899999999</v>
      </c>
      <c r="AC55" s="8">
        <f t="shared" ref="AC55" si="925">+AB55/$AB$4</f>
        <v>0.70137728079710138</v>
      </c>
      <c r="AD55" s="2">
        <f t="shared" ref="AD55" si="926">AB55*$AD$2</f>
        <v>31561977.635869563</v>
      </c>
      <c r="AE55" s="2">
        <v>3600000</v>
      </c>
      <c r="AF55" s="8">
        <f t="shared" ref="AF55" si="927">+AE55/$AE$4</f>
        <v>1</v>
      </c>
      <c r="AG55" s="2">
        <v>1200000</v>
      </c>
      <c r="AH55" s="8">
        <f t="shared" ref="AH55" si="928">+AG55/$AG$4</f>
        <v>1</v>
      </c>
      <c r="AI55" s="8">
        <f t="shared" ref="AI55" si="929">+AB55/D55</f>
        <v>0.86907212224711727</v>
      </c>
      <c r="AJ55" s="2">
        <f t="shared" si="844"/>
        <v>469638.00976181257</v>
      </c>
      <c r="AK55" s="4">
        <f t="shared" ref="AK55" si="930">((+D55+AJ55)-AB55)/D55</f>
        <v>0.1414700057823923</v>
      </c>
      <c r="AL55" s="4">
        <f t="shared" ref="AL55" si="931">+S55/$D55</f>
        <v>0.89723398417012179</v>
      </c>
      <c r="AM55" s="4">
        <f t="shared" ref="AM55" si="932">+T55/$D55</f>
        <v>3.7040661419165892E-2</v>
      </c>
      <c r="AN55" s="4">
        <f t="shared" ref="AN55" si="933">+U55/$D55</f>
        <v>2.6961757090475481E-2</v>
      </c>
      <c r="AO55" s="4">
        <f t="shared" ref="AO55" si="934">+V55/$D55</f>
        <v>1.3561183934157811E-2</v>
      </c>
      <c r="AP55" s="4">
        <f t="shared" ref="AP55" si="935">+W55/$D55</f>
        <v>8.4217288326668555E-3</v>
      </c>
      <c r="AQ55" s="4">
        <f t="shared" ref="AQ55" si="936">+X55/$D55</f>
        <v>1.541100257419592E-3</v>
      </c>
      <c r="AR55" s="4">
        <f t="shared" ref="AR55" si="937">+Y55/$D55</f>
        <v>0</v>
      </c>
    </row>
    <row r="56" spans="1:44" x14ac:dyDescent="0.25">
      <c r="A56">
        <f t="shared" si="360"/>
        <v>52</v>
      </c>
      <c r="B56" s="3">
        <f t="shared" si="853"/>
        <v>45078</v>
      </c>
      <c r="C56" s="41">
        <v>1805</v>
      </c>
      <c r="D56" s="2">
        <v>44244059.149999999</v>
      </c>
      <c r="E56" s="32">
        <v>6.2600000000000003E-2</v>
      </c>
      <c r="F56" s="8">
        <f t="shared" ref="F56" si="938">+D56/$D$4</f>
        <v>0.73740008436173021</v>
      </c>
      <c r="G56" s="2">
        <v>172183.99</v>
      </c>
      <c r="H56" s="8"/>
      <c r="I56" s="8"/>
      <c r="J56" s="8"/>
      <c r="K56" s="8"/>
      <c r="L56" s="8"/>
      <c r="M56" s="8"/>
      <c r="N56" s="6">
        <f t="shared" ref="N56" si="939">G56/D55</f>
        <v>3.8650740133500225E-3</v>
      </c>
      <c r="O56" s="6">
        <f t="shared" ref="O56" si="940">1-(+N56-1)^12</f>
        <v>4.5407520464239126E-2</v>
      </c>
      <c r="P56" s="20">
        <f t="shared" ref="P56" si="941">AVERAGE(O54:O56)</f>
        <v>5.1146144374748924E-2</v>
      </c>
      <c r="Q56" s="20">
        <f t="shared" ref="Q56" si="942">AVERAGE(O51:O56)</f>
        <v>3.829688537578927E-2</v>
      </c>
      <c r="R56" s="17">
        <f t="shared" ref="R56" si="943">AVERAGE(O45:O56)</f>
        <v>3.5672013829478162E-2</v>
      </c>
      <c r="S56" s="26">
        <v>39875268</v>
      </c>
      <c r="T56" s="26">
        <v>1692539</v>
      </c>
      <c r="U56" s="26">
        <v>1129837</v>
      </c>
      <c r="V56" s="26">
        <v>382550</v>
      </c>
      <c r="W56" s="26">
        <v>386820</v>
      </c>
      <c r="X56" s="26">
        <v>126453</v>
      </c>
      <c r="Y56" s="26">
        <v>39562.76</v>
      </c>
      <c r="Z56" s="26">
        <f t="shared" ref="Z56" si="944">Z55+Y56</f>
        <v>1286079.99</v>
      </c>
      <c r="AA56" s="4">
        <f t="shared" ref="AA56" si="945">Z56/$D$4</f>
        <v>2.1434640296152236E-2</v>
      </c>
      <c r="AB56" s="2">
        <v>38439684.729999997</v>
      </c>
      <c r="AC56" s="8">
        <f t="shared" ref="AC56" si="946">+AB56/$AB$4</f>
        <v>0.69637110018115933</v>
      </c>
      <c r="AD56" s="2">
        <f t="shared" ref="AD56" si="947">AB56*$AD$2</f>
        <v>31336699.508152168</v>
      </c>
      <c r="AE56" s="2">
        <v>3600000</v>
      </c>
      <c r="AF56" s="8">
        <f t="shared" ref="AF56" si="948">+AE56/$AE$4</f>
        <v>1</v>
      </c>
      <c r="AG56" s="2">
        <v>1200000</v>
      </c>
      <c r="AH56" s="8">
        <f t="shared" ref="AH56" si="949">+AG56/$AG$4</f>
        <v>1</v>
      </c>
      <c r="AI56" s="8">
        <f t="shared" ref="AI56" si="950">+AB56/D56</f>
        <v>0.8688100836245265</v>
      </c>
      <c r="AJ56" s="2">
        <f t="shared" si="844"/>
        <v>465318.23628562497</v>
      </c>
      <c r="AK56" s="4">
        <f t="shared" ref="AK56" si="951">((+D56+AJ56)-AB56)/D56</f>
        <v>0.14170699471830964</v>
      </c>
      <c r="AL56" s="4">
        <f t="shared" ref="AL56" si="952">+S56/$D56</f>
        <v>0.90125699960782191</v>
      </c>
      <c r="AM56" s="4">
        <f t="shared" ref="AM56" si="953">+T56/$D56</f>
        <v>3.8254604855802433E-2</v>
      </c>
      <c r="AN56" s="4">
        <f t="shared" ref="AN56" si="954">+U56/$D56</f>
        <v>2.5536467984764458E-2</v>
      </c>
      <c r="AO56" s="4">
        <f t="shared" ref="AO56" si="955">+V56/$D56</f>
        <v>8.6463585699279137E-3</v>
      </c>
      <c r="AP56" s="4">
        <f t="shared" ref="AP56" si="956">+W56/$D56</f>
        <v>8.7428687021814545E-3</v>
      </c>
      <c r="AQ56" s="4">
        <f t="shared" ref="AQ56" si="957">+X56/$D56</f>
        <v>2.8580786308798705E-3</v>
      </c>
      <c r="AR56" s="4">
        <f t="shared" ref="AR56" si="958">+Y56/$D56</f>
        <v>8.9419372363351525E-4</v>
      </c>
    </row>
    <row r="57" spans="1:44" x14ac:dyDescent="0.25">
      <c r="A57">
        <f t="shared" si="360"/>
        <v>53</v>
      </c>
      <c r="B57" s="3">
        <f t="shared" si="853"/>
        <v>45108</v>
      </c>
      <c r="C57" s="41">
        <v>1797</v>
      </c>
      <c r="D57" s="2">
        <v>43972815.210000001</v>
      </c>
      <c r="E57" s="32">
        <v>6.2600000000000003E-2</v>
      </c>
      <c r="F57" s="8">
        <f t="shared" ref="F57" si="959">+D57/$D$4</f>
        <v>0.73287935755498534</v>
      </c>
      <c r="G57" s="2">
        <v>159546.28</v>
      </c>
      <c r="H57" s="8"/>
      <c r="I57" s="8"/>
      <c r="J57" s="8"/>
      <c r="K57" s="8"/>
      <c r="L57" s="8"/>
      <c r="M57" s="8"/>
      <c r="N57" s="6">
        <f t="shared" ref="N57" si="960">G57/D56</f>
        <v>3.6060497853303316E-3</v>
      </c>
      <c r="O57" s="6">
        <f t="shared" ref="O57" si="961">1-(+N57-1)^12</f>
        <v>4.2424593084464335E-2</v>
      </c>
      <c r="P57" s="20">
        <f t="shared" ref="P57" si="962">AVERAGE(O55:O57)</f>
        <v>4.6414976297986632E-2</v>
      </c>
      <c r="Q57" s="20">
        <f t="shared" ref="Q57" si="963">AVERAGE(O52:O57)</f>
        <v>4.0513727524281139E-2</v>
      </c>
      <c r="R57" s="17">
        <f t="shared" ref="R57" si="964">AVERAGE(O46:O57)</f>
        <v>3.6934332025276913E-2</v>
      </c>
      <c r="S57" s="26">
        <v>39742653</v>
      </c>
      <c r="T57" s="26">
        <v>1681163</v>
      </c>
      <c r="U57" s="26">
        <v>920366</v>
      </c>
      <c r="V57" s="26">
        <v>590312</v>
      </c>
      <c r="W57" s="26">
        <v>241506</v>
      </c>
      <c r="X57" s="26">
        <v>173358</v>
      </c>
      <c r="Y57" s="26">
        <v>33157.15</v>
      </c>
      <c r="Z57" s="26">
        <f t="shared" ref="Z57" si="965">Z56+Y57</f>
        <v>1319237.1399999999</v>
      </c>
      <c r="AA57" s="4">
        <f t="shared" ref="AA57" si="966">Z57/$D$4</f>
        <v>2.1987258787242798E-2</v>
      </c>
      <c r="AB57" s="2">
        <v>38195495.299999997</v>
      </c>
      <c r="AC57" s="8">
        <f t="shared" ref="AC57" si="967">+AB57/$AB$4</f>
        <v>0.69194737862318834</v>
      </c>
      <c r="AD57" s="2">
        <f t="shared" ref="AD57" si="968">AB57*$AD$2</f>
        <v>31137632.038043473</v>
      </c>
      <c r="AE57" s="2">
        <v>3600000</v>
      </c>
      <c r="AF57" s="8">
        <f t="shared" ref="AF57" si="969">+AE57/$AE$4</f>
        <v>1</v>
      </c>
      <c r="AG57" s="2">
        <v>1200000</v>
      </c>
      <c r="AH57" s="8">
        <f t="shared" ref="AH57" si="970">+AG57/$AG$4</f>
        <v>1</v>
      </c>
      <c r="AI57" s="8">
        <f t="shared" ref="AI57" si="971">+AB57/D57</f>
        <v>0.86861610105222087</v>
      </c>
      <c r="AJ57" s="2">
        <f t="shared" ref="AJ57" si="972">(AB56*4.8075%*30/360)*3</f>
        <v>461996.96084868751</v>
      </c>
      <c r="AK57" s="4">
        <f t="shared" ref="AK57" si="973">((+D57+AJ57)-AB57)/D57</f>
        <v>0.14189032112344241</v>
      </c>
      <c r="AL57" s="4">
        <f t="shared" ref="AL57" si="974">+S57/$D57</f>
        <v>0.90380051425413388</v>
      </c>
      <c r="AM57" s="4">
        <f t="shared" ref="AM57" si="975">+T57/$D57</f>
        <v>3.8231871031484045E-2</v>
      </c>
      <c r="AN57" s="4">
        <f t="shared" ref="AN57" si="976">+U57/$D57</f>
        <v>2.0930340611685389E-2</v>
      </c>
      <c r="AO57" s="4">
        <f t="shared" ref="AO57" si="977">+V57/$D57</f>
        <v>1.3424475944532095E-2</v>
      </c>
      <c r="AP57" s="4">
        <f t="shared" ref="AP57" si="978">+W57/$D57</f>
        <v>5.4921659858857145E-3</v>
      </c>
      <c r="AQ57" s="4">
        <f t="shared" ref="AQ57" si="979">+X57/$D57</f>
        <v>3.9423902966434611E-3</v>
      </c>
      <c r="AR57" s="4">
        <f t="shared" ref="AR57" si="980">+Y57/$D57</f>
        <v>7.5403746250159631E-4</v>
      </c>
    </row>
    <row r="58" spans="1:44" x14ac:dyDescent="0.25">
      <c r="A58">
        <f t="shared" si="360"/>
        <v>54</v>
      </c>
      <c r="B58" s="3">
        <f t="shared" ref="B58:B91" si="981">+B57+31</f>
        <v>45139</v>
      </c>
      <c r="C58" s="41">
        <v>1789</v>
      </c>
      <c r="D58" s="2">
        <v>43676500.719999999</v>
      </c>
      <c r="E58" s="32">
        <v>6.2600000000000003E-2</v>
      </c>
      <c r="F58" s="8">
        <f t="shared" ref="F58" si="982">+D58/$D$4</f>
        <v>0.72794078875905233</v>
      </c>
      <c r="G58" s="2">
        <v>160708.79</v>
      </c>
      <c r="H58" s="8"/>
      <c r="I58" s="8"/>
      <c r="J58" s="8"/>
      <c r="K58" s="8"/>
      <c r="L58" s="8"/>
      <c r="M58" s="8"/>
      <c r="N58" s="6">
        <f t="shared" ref="N58" si="983">G58/D57</f>
        <v>3.6547305245867609E-3</v>
      </c>
      <c r="O58" s="6">
        <f t="shared" ref="O58" si="984">1-(+N58-1)^12</f>
        <v>4.2985852468397256E-2</v>
      </c>
      <c r="P58" s="20">
        <f t="shared" ref="P58" si="985">AVERAGE(O56:O58)</f>
        <v>4.3605988672366904E-2</v>
      </c>
      <c r="Q58" s="20">
        <f t="shared" ref="Q58" si="986">AVERAGE(O53:O58)</f>
        <v>4.0806361163824169E-2</v>
      </c>
      <c r="R58" s="17">
        <f t="shared" ref="R58" si="987">AVERAGE(O47:O58)</f>
        <v>3.9464700022914544E-2</v>
      </c>
      <c r="S58" s="26">
        <v>39445040</v>
      </c>
      <c r="T58" s="26">
        <v>1613870</v>
      </c>
      <c r="U58" s="26">
        <v>993006</v>
      </c>
      <c r="V58" s="26">
        <v>428186</v>
      </c>
      <c r="W58" s="26">
        <v>395894</v>
      </c>
      <c r="X58" s="26">
        <v>162635</v>
      </c>
      <c r="Y58" s="26">
        <v>98437.14</v>
      </c>
      <c r="Z58" s="26">
        <f t="shared" ref="Z58" si="988">Z57+Y58</f>
        <v>1417674.2799999998</v>
      </c>
      <c r="AA58" s="4">
        <f t="shared" ref="AA58" si="989">Z58/$D$4</f>
        <v>2.3627875781588519E-2</v>
      </c>
      <c r="AB58" s="2">
        <v>37904752.25</v>
      </c>
      <c r="AC58" s="8">
        <f t="shared" ref="AC58" si="990">+AB58/$AB$4</f>
        <v>0.68668029438405798</v>
      </c>
      <c r="AD58" s="2">
        <f t="shared" ref="AD58" si="991">AB58*$AD$2</f>
        <v>30900613.247282606</v>
      </c>
      <c r="AE58" s="2">
        <v>3600000</v>
      </c>
      <c r="AF58" s="8">
        <f t="shared" ref="AF58" si="992">+AE58/$AE$4</f>
        <v>1</v>
      </c>
      <c r="AG58" s="2">
        <v>1200000</v>
      </c>
      <c r="AH58" s="8">
        <f t="shared" ref="AH58" si="993">+AG58/$AG$4</f>
        <v>1</v>
      </c>
      <c r="AI58" s="8">
        <f t="shared" ref="AI58" si="994">+AB58/D58</f>
        <v>0.86785231474926638</v>
      </c>
      <c r="AJ58" s="2">
        <f t="shared" ref="AJ58" si="995">(AB57*4.8075%*30/360)*3</f>
        <v>459062.1091368749</v>
      </c>
      <c r="AK58" s="4">
        <f t="shared" ref="AK58" si="996">((+D58+AJ58)-AB58)/D58</f>
        <v>0.142658190936155</v>
      </c>
      <c r="AL58" s="4">
        <f t="shared" ref="AL58" si="997">+S58/$D58</f>
        <v>0.90311813789463313</v>
      </c>
      <c r="AM58" s="4">
        <f t="shared" ref="AM58" si="998">+T58/$D58</f>
        <v>3.6950533430920883E-2</v>
      </c>
      <c r="AN58" s="4">
        <f t="shared" ref="AN58" si="999">+U58/$D58</f>
        <v>2.273547522421572E-2</v>
      </c>
      <c r="AO58" s="4">
        <f t="shared" ref="AO58" si="1000">+V58/$D58</f>
        <v>9.8035784218383701E-3</v>
      </c>
      <c r="AP58" s="4">
        <f t="shared" ref="AP58" si="1001">+W58/$D58</f>
        <v>9.0642334773562878E-3</v>
      </c>
      <c r="AQ58" s="4">
        <f t="shared" ref="AQ58" si="1002">+X58/$D58</f>
        <v>3.7236270607532316E-3</v>
      </c>
      <c r="AR58" s="4">
        <f t="shared" ref="AR58" si="1003">+Y58/$D58</f>
        <v>2.2537780815147686E-3</v>
      </c>
    </row>
    <row r="59" spans="1:44" x14ac:dyDescent="0.25">
      <c r="A59">
        <f t="shared" si="360"/>
        <v>55</v>
      </c>
      <c r="B59" s="3">
        <f t="shared" si="981"/>
        <v>45170</v>
      </c>
      <c r="C59" s="41">
        <v>1771</v>
      </c>
      <c r="D59" s="2">
        <v>43216114.18</v>
      </c>
      <c r="E59" s="32">
        <v>6.2600000000000003E-2</v>
      </c>
      <c r="F59" s="8">
        <f t="shared" ref="F59" si="1004">+D59/$D$4</f>
        <v>0.72026768913941663</v>
      </c>
      <c r="G59" s="2">
        <v>326824.26</v>
      </c>
      <c r="H59" s="8"/>
      <c r="I59" s="8"/>
      <c r="J59" s="8"/>
      <c r="K59" s="8"/>
      <c r="L59" s="8"/>
      <c r="M59" s="8"/>
      <c r="N59" s="6">
        <f t="shared" ref="N59" si="1005">G59/D58</f>
        <v>7.4828398477981371E-3</v>
      </c>
      <c r="O59" s="6">
        <f t="shared" ref="O59" si="1006">1-(+N59-1)^12</f>
        <v>8.6189190668413573E-2</v>
      </c>
      <c r="P59" s="20">
        <f t="shared" ref="P59" si="1007">AVERAGE(O57:O59)</f>
        <v>5.7199878740425057E-2</v>
      </c>
      <c r="Q59" s="20">
        <f t="shared" ref="Q59" si="1008">AVERAGE(O54:O59)</f>
        <v>5.4173011557586991E-2</v>
      </c>
      <c r="R59" s="17">
        <f t="shared" ref="R59" si="1009">AVERAGE(O48:O59)</f>
        <v>4.1314466738574113E-2</v>
      </c>
      <c r="S59" s="26">
        <v>39024156</v>
      </c>
      <c r="T59" s="26">
        <v>1804021</v>
      </c>
      <c r="U59" s="26">
        <v>1078861</v>
      </c>
      <c r="V59" s="26">
        <v>222738</v>
      </c>
      <c r="W59" s="26">
        <v>282496</v>
      </c>
      <c r="X59" s="26">
        <v>127147</v>
      </c>
      <c r="Y59" s="26">
        <v>49833.23</v>
      </c>
      <c r="Z59" s="26">
        <f t="shared" ref="Z59" si="1010">Z58+Y59</f>
        <v>1467507.5099999998</v>
      </c>
      <c r="AA59" s="4">
        <f t="shared" ref="AA59" si="1011">Z59/$D$4</f>
        <v>2.4458428599571033E-2</v>
      </c>
      <c r="AB59" s="2">
        <v>37385330.090000004</v>
      </c>
      <c r="AC59" s="8">
        <f t="shared" ref="AC59" si="1012">+AB59/$AB$4</f>
        <v>0.67727047264492757</v>
      </c>
      <c r="AD59" s="2">
        <f t="shared" ref="AD59" si="1013">AB59*$AD$2</f>
        <v>30477171.269021742</v>
      </c>
      <c r="AE59" s="2">
        <v>3600000</v>
      </c>
      <c r="AF59" s="8">
        <f t="shared" ref="AF59" si="1014">+AE59/$AE$4</f>
        <v>1</v>
      </c>
      <c r="AG59" s="2">
        <v>1200000</v>
      </c>
      <c r="AH59" s="8">
        <f t="shared" ref="AH59" si="1015">+AG59/$AG$4</f>
        <v>1</v>
      </c>
      <c r="AI59" s="8">
        <f t="shared" ref="AI59" si="1016">+AB59/D59</f>
        <v>0.86507847360560641</v>
      </c>
      <c r="AJ59" s="2">
        <f t="shared" ref="AJ59" si="1017">(AB58*4.8075%*30/360)*3</f>
        <v>455567.74110468751</v>
      </c>
      <c r="AK59" s="4">
        <f t="shared" ref="AK59" si="1018">((+D59+AJ59)-AB59)/D59</f>
        <v>0.14546314379218167</v>
      </c>
      <c r="AL59" s="4">
        <f t="shared" ref="AL59" si="1019">+S59/$D59</f>
        <v>0.90300011327857888</v>
      </c>
      <c r="AM59" s="4">
        <f t="shared" ref="AM59" si="1020">+T59/$D59</f>
        <v>4.1744174232927297E-2</v>
      </c>
      <c r="AN59" s="4">
        <f t="shared" ref="AN59" si="1021">+U59/$D59</f>
        <v>2.496432223189762E-2</v>
      </c>
      <c r="AO59" s="4">
        <f t="shared" ref="AO59" si="1022">+V59/$D59</f>
        <v>5.1540496924890348E-3</v>
      </c>
      <c r="AP59" s="4">
        <f t="shared" ref="AP59" si="1023">+W59/$D59</f>
        <v>6.5368209372867773E-3</v>
      </c>
      <c r="AQ59" s="4">
        <f t="shared" ref="AQ59" si="1024">+X59/$D59</f>
        <v>2.9421201422788353E-3</v>
      </c>
      <c r="AR59" s="4">
        <f t="shared" ref="AR59" si="1025">+Y59/$D59</f>
        <v>1.1531168626693037E-3</v>
      </c>
    </row>
    <row r="60" spans="1:44" x14ac:dyDescent="0.25">
      <c r="A60">
        <f t="shared" si="360"/>
        <v>56</v>
      </c>
      <c r="B60" s="3">
        <f t="shared" si="981"/>
        <v>45201</v>
      </c>
      <c r="C60" s="41">
        <v>1760</v>
      </c>
      <c r="D60" s="2">
        <v>42877780.25</v>
      </c>
      <c r="E60" s="32">
        <v>6.2600000000000003E-2</v>
      </c>
      <c r="F60" s="8">
        <f t="shared" ref="F60" si="1026">+D60/$D$4</f>
        <v>0.71462879719962868</v>
      </c>
      <c r="G60" s="2">
        <v>194992.06</v>
      </c>
      <c r="H60" s="8"/>
      <c r="I60" s="8"/>
      <c r="J60" s="8"/>
      <c r="K60" s="8"/>
      <c r="L60" s="8"/>
      <c r="M60" s="8"/>
      <c r="N60" s="6">
        <f t="shared" ref="N60" si="1027">G60/D59</f>
        <v>4.5120220477906925E-3</v>
      </c>
      <c r="O60" s="6">
        <f t="shared" ref="O60" si="1028">1-(+N60-1)^12</f>
        <v>5.282061885701772E-2</v>
      </c>
      <c r="P60" s="20">
        <f t="shared" ref="P60" si="1029">AVERAGE(O58:O60)</f>
        <v>6.0665220664609519E-2</v>
      </c>
      <c r="Q60" s="20">
        <f t="shared" ref="Q60" si="1030">AVERAGE(O55:O60)</f>
        <v>5.3540098481298072E-2</v>
      </c>
      <c r="R60" s="17">
        <f t="shared" ref="R60" si="1031">AVERAGE(O49:O60)</f>
        <v>4.1937640914453067E-2</v>
      </c>
      <c r="S60" s="26">
        <v>38689412</v>
      </c>
      <c r="T60" s="26">
        <v>1618831</v>
      </c>
      <c r="U60" s="26">
        <v>1147771</v>
      </c>
      <c r="V60" s="26">
        <v>359531</v>
      </c>
      <c r="W60" s="26">
        <v>275257</v>
      </c>
      <c r="X60" s="26">
        <v>214927</v>
      </c>
      <c r="Y60" s="26">
        <v>15331.6</v>
      </c>
      <c r="Z60" s="26">
        <f t="shared" ref="Z60" si="1032">Z59+Y60</f>
        <v>1482839.1099999999</v>
      </c>
      <c r="AA60" s="4">
        <f t="shared" ref="AA60" si="1033">Z60/$D$4</f>
        <v>2.4713954953856733E-2</v>
      </c>
      <c r="AB60" s="2">
        <v>37085233.509999998</v>
      </c>
      <c r="AC60" s="8">
        <f t="shared" ref="AC60" si="1034">+AB60/$AB$4</f>
        <v>0.67183394039855071</v>
      </c>
      <c r="AD60" s="2">
        <f t="shared" ref="AD60" si="1035">AB60*$AD$2</f>
        <v>30232527.317934778</v>
      </c>
      <c r="AE60" s="2">
        <v>3600000</v>
      </c>
      <c r="AF60" s="8">
        <f t="shared" ref="AF60" si="1036">+AE60/$AE$4</f>
        <v>1</v>
      </c>
      <c r="AG60" s="2">
        <v>1200000</v>
      </c>
      <c r="AH60" s="8">
        <f t="shared" ref="AH60" si="1037">+AG60/$AG$4</f>
        <v>1</v>
      </c>
      <c r="AI60" s="8">
        <f t="shared" ref="AI60" si="1038">+AB60/D60</f>
        <v>0.86490562929735615</v>
      </c>
      <c r="AJ60" s="2">
        <f t="shared" ref="AJ60" si="1039">(AB59*4.8075%*30/360)*3</f>
        <v>449324.93601918756</v>
      </c>
      <c r="AK60" s="4">
        <f t="shared" ref="AK60" si="1040">((+D60+AJ60)-AB60)/D60</f>
        <v>0.14557357306338617</v>
      </c>
      <c r="AL60" s="4">
        <f t="shared" ref="AL60" si="1041">+S60/$D60</f>
        <v>0.90231844499459601</v>
      </c>
      <c r="AM60" s="4">
        <f t="shared" ref="AM60" si="1042">+T60/$D60</f>
        <v>3.775454304213894E-2</v>
      </c>
      <c r="AN60" s="4">
        <f t="shared" ref="AN60" si="1043">+U60/$D60</f>
        <v>2.6768433284276652E-2</v>
      </c>
      <c r="AO60" s="4">
        <f t="shared" ref="AO60" si="1044">+V60/$D60</f>
        <v>8.3850189516282148E-3</v>
      </c>
      <c r="AP60" s="4">
        <f t="shared" ref="AP60" si="1045">+W60/$D60</f>
        <v>6.4195720579541893E-3</v>
      </c>
      <c r="AQ60" s="4">
        <f t="shared" ref="AQ60" si="1046">+X60/$D60</f>
        <v>5.0125495943787813E-3</v>
      </c>
      <c r="AR60" s="4">
        <f t="shared" ref="AR60" si="1047">+Y60/$D60</f>
        <v>3.5756515170815077E-4</v>
      </c>
    </row>
    <row r="61" spans="1:44" x14ac:dyDescent="0.25">
      <c r="A61">
        <f t="shared" si="360"/>
        <v>57</v>
      </c>
      <c r="B61" s="3">
        <f t="shared" si="981"/>
        <v>45232</v>
      </c>
      <c r="C61" s="41">
        <v>1754</v>
      </c>
      <c r="D61" s="2">
        <v>42663827.189999998</v>
      </c>
      <c r="E61" s="32">
        <v>6.2600000000000003E-2</v>
      </c>
      <c r="F61" s="8">
        <f t="shared" ref="F61" si="1048">+D61/$D$4</f>
        <v>0.71106291722558368</v>
      </c>
      <c r="G61" s="2">
        <v>55759.22</v>
      </c>
      <c r="H61" s="8"/>
      <c r="I61" s="8"/>
      <c r="J61" s="8"/>
      <c r="K61" s="8"/>
      <c r="L61" s="8"/>
      <c r="M61" s="8"/>
      <c r="N61" s="6">
        <f t="shared" ref="N61" si="1049">G61/D60</f>
        <v>1.300422262414109E-3</v>
      </c>
      <c r="O61" s="6">
        <f t="shared" ref="O61" si="1050">1-(+N61-1)^12</f>
        <v>1.5493937075448994E-2</v>
      </c>
      <c r="P61" s="20">
        <f t="shared" ref="P61" si="1051">AVERAGE(O59:O61)</f>
        <v>5.1501248866960093E-2</v>
      </c>
      <c r="Q61" s="20">
        <f t="shared" ref="Q61" si="1052">AVERAGE(O56:O61)</f>
        <v>4.7553618769663498E-2</v>
      </c>
      <c r="R61" s="17">
        <f t="shared" ref="R61" si="1053">AVERAGE(O50:O61)</f>
        <v>4.2861953498806248E-2</v>
      </c>
      <c r="S61" s="26">
        <v>38624517</v>
      </c>
      <c r="T61" s="26">
        <v>1293832</v>
      </c>
      <c r="U61" s="26">
        <v>1073842</v>
      </c>
      <c r="V61" s="26">
        <v>524033</v>
      </c>
      <c r="W61" s="26">
        <v>288864</v>
      </c>
      <c r="X61" s="26">
        <v>122703</v>
      </c>
      <c r="Y61" s="26">
        <v>151405.98000000001</v>
      </c>
      <c r="Z61" s="26">
        <f t="shared" ref="Z61" si="1054">Z60+Y61</f>
        <v>1634245.0899999999</v>
      </c>
      <c r="AA61" s="4">
        <f t="shared" ref="AA61" si="1055">Z61/$D$4</f>
        <v>2.7237384868963661E-2</v>
      </c>
      <c r="AB61" s="2">
        <v>36811622.350000001</v>
      </c>
      <c r="AC61" s="8">
        <f t="shared" ref="AC61" si="1056">+AB61/$AB$4</f>
        <v>0.66687721648550724</v>
      </c>
      <c r="AD61" s="2">
        <f t="shared" ref="AD61" si="1057">AB61*$AD$2</f>
        <v>30009474.741847824</v>
      </c>
      <c r="AE61" s="2">
        <v>3600000</v>
      </c>
      <c r="AF61" s="8">
        <f t="shared" ref="AF61" si="1058">+AE61/$AE$4</f>
        <v>1</v>
      </c>
      <c r="AG61" s="2">
        <v>1200000</v>
      </c>
      <c r="AH61" s="8">
        <f t="shared" ref="AH61" si="1059">+AG61/$AG$4</f>
        <v>1</v>
      </c>
      <c r="AI61" s="8">
        <f t="shared" ref="AI61" si="1060">+AB61/D61</f>
        <v>0.86282982035489542</v>
      </c>
      <c r="AJ61" s="2">
        <f t="shared" ref="AJ61" si="1061">(AB60*4.8075%*30/360)*3</f>
        <v>445718.15024831239</v>
      </c>
      <c r="AK61" s="4">
        <f t="shared" ref="AK61" si="1062">((+D61+AJ61)-AB61)/D61</f>
        <v>0.14761739405611699</v>
      </c>
      <c r="AL61" s="4">
        <f t="shared" ref="AL61" si="1063">+S61/$D61</f>
        <v>0.90532236660318244</v>
      </c>
      <c r="AM61" s="4">
        <f t="shared" ref="AM61" si="1064">+T61/$D61</f>
        <v>3.0326205716098113E-2</v>
      </c>
      <c r="AN61" s="4">
        <f t="shared" ref="AN61" si="1065">+U61/$D61</f>
        <v>2.5169846934212658E-2</v>
      </c>
      <c r="AO61" s="4">
        <f t="shared" ref="AO61" si="1066">+V61/$D61</f>
        <v>1.2282840863438253E-2</v>
      </c>
      <c r="AP61" s="4">
        <f t="shared" ref="AP61" si="1067">+W61/$D61</f>
        <v>6.7707005917112617E-3</v>
      </c>
      <c r="AQ61" s="4">
        <f t="shared" ref="AQ61" si="1068">+X61/$D61</f>
        <v>2.8760429638333158E-3</v>
      </c>
      <c r="AR61" s="4">
        <f t="shared" ref="AR61" si="1069">+Y61/$D61</f>
        <v>3.5488138306421831E-3</v>
      </c>
    </row>
    <row r="62" spans="1:44" x14ac:dyDescent="0.25">
      <c r="A62">
        <f t="shared" si="360"/>
        <v>58</v>
      </c>
      <c r="B62" s="3">
        <f t="shared" si="981"/>
        <v>45263</v>
      </c>
      <c r="C62" s="41">
        <v>1750</v>
      </c>
      <c r="D62" s="2">
        <v>42453240.829999998</v>
      </c>
      <c r="E62" s="32">
        <v>6.3899999999999998E-2</v>
      </c>
      <c r="F62" s="8">
        <f t="shared" ref="F62" si="1070">+D62/$D$4</f>
        <v>0.70755314884960885</v>
      </c>
      <c r="G62" s="2">
        <v>86152.29</v>
      </c>
      <c r="H62" s="8"/>
      <c r="I62" s="8"/>
      <c r="J62" s="8"/>
      <c r="K62" s="8"/>
      <c r="L62" s="8"/>
      <c r="M62" s="8"/>
      <c r="N62" s="6">
        <f t="shared" ref="N62" si="1071">G62/D61</f>
        <v>2.0193286836721787E-3</v>
      </c>
      <c r="O62" s="6">
        <f t="shared" ref="O62" si="1072">1-(+N62-1)^12</f>
        <v>2.3964620092467692E-2</v>
      </c>
      <c r="P62" s="20">
        <f t="shared" ref="P62" si="1073">AVERAGE(O60:O62)</f>
        <v>3.0759725341644801E-2</v>
      </c>
      <c r="Q62" s="20">
        <f t="shared" ref="Q62" si="1074">AVERAGE(O57:O62)</f>
        <v>4.3979802041034931E-2</v>
      </c>
      <c r="R62" s="17">
        <f t="shared" ref="R62" si="1075">AVERAGE(O51:O62)</f>
        <v>4.1138343708412101E-2</v>
      </c>
      <c r="S62" s="26">
        <v>38145820</v>
      </c>
      <c r="T62" s="26">
        <v>1389036</v>
      </c>
      <c r="U62" s="26">
        <v>998855</v>
      </c>
      <c r="V62" s="26">
        <v>661515</v>
      </c>
      <c r="W62" s="26">
        <v>305674</v>
      </c>
      <c r="X62" s="26">
        <v>136481</v>
      </c>
      <c r="Y62" s="26">
        <v>40511.370000000003</v>
      </c>
      <c r="Z62" s="26">
        <f t="shared" ref="Z62" si="1076">Z61+Y62</f>
        <v>1674756.46</v>
      </c>
      <c r="AA62" s="4">
        <f t="shared" ref="AA62" si="1077">Z62/$D$4</f>
        <v>2.7912573543545507E-2</v>
      </c>
      <c r="AB62" s="2">
        <v>36563043.729999997</v>
      </c>
      <c r="AC62" s="8">
        <f t="shared" ref="AC62" si="1078">+AB62/$AB$4</f>
        <v>0.66237398061594199</v>
      </c>
      <c r="AD62" s="2">
        <f t="shared" ref="AD62" si="1079">AB62*$AD$2</f>
        <v>29806829.127717387</v>
      </c>
      <c r="AE62" s="2">
        <v>3600000</v>
      </c>
      <c r="AF62" s="8">
        <f t="shared" ref="AF62" si="1080">+AE62/$AE$4</f>
        <v>1</v>
      </c>
      <c r="AG62" s="2">
        <v>1200000</v>
      </c>
      <c r="AH62" s="8">
        <f t="shared" ref="AH62" si="1081">+AG62/$AG$4</f>
        <v>1</v>
      </c>
      <c r="AI62" s="8">
        <f t="shared" ref="AI62" si="1082">+AB62/D62</f>
        <v>0.86125447704718849</v>
      </c>
      <c r="AJ62" s="2">
        <f t="shared" ref="AJ62" si="1083">(AB61*4.8075%*30/360)*3</f>
        <v>442429.68611906248</v>
      </c>
      <c r="AK62" s="4">
        <f t="shared" ref="AK62" si="1084">((+D62+AJ62)-AB62)/D62</f>
        <v>0.14916709919691346</v>
      </c>
      <c r="AL62" s="4">
        <f t="shared" ref="AL62" si="1085">+S62/$D62</f>
        <v>0.89853729077483957</v>
      </c>
      <c r="AM62" s="4">
        <f t="shared" ref="AM62" si="1086">+T62/$D62</f>
        <v>3.2719198177643578E-2</v>
      </c>
      <c r="AN62" s="4">
        <f t="shared" ref="AN62" si="1087">+U62/$D62</f>
        <v>2.3528356857367396E-2</v>
      </c>
      <c r="AO62" s="4">
        <f t="shared" ref="AO62" si="1088">+V62/$D62</f>
        <v>1.5582202608488112E-2</v>
      </c>
      <c r="AP62" s="4">
        <f t="shared" ref="AP62" si="1089">+W62/$D62</f>
        <v>7.2002512416906575E-3</v>
      </c>
      <c r="AQ62" s="4">
        <f t="shared" ref="AQ62" si="1090">+X62/$D62</f>
        <v>3.2148546808599444E-3</v>
      </c>
      <c r="AR62" s="4">
        <f t="shared" ref="AR62" si="1091">+Y62/$D62</f>
        <v>9.5425859623353524E-4</v>
      </c>
    </row>
    <row r="63" spans="1:44" x14ac:dyDescent="0.25">
      <c r="A63">
        <f t="shared" si="360"/>
        <v>59</v>
      </c>
      <c r="B63" s="3">
        <f t="shared" si="981"/>
        <v>45294</v>
      </c>
      <c r="C63" s="41">
        <v>1741</v>
      </c>
      <c r="D63" s="2">
        <v>42241331.899999999</v>
      </c>
      <c r="E63" s="32">
        <v>6.3899999999999998E-2</v>
      </c>
      <c r="F63" s="8">
        <f t="shared" ref="F63" si="1092">+D63/$D$4</f>
        <v>0.70402133766724795</v>
      </c>
      <c r="G63" s="2">
        <v>45569.120000000003</v>
      </c>
      <c r="H63" s="8"/>
      <c r="I63" s="8"/>
      <c r="J63" s="8"/>
      <c r="K63" s="8"/>
      <c r="L63" s="8"/>
      <c r="M63" s="8"/>
      <c r="N63" s="6">
        <f t="shared" ref="N63" si="1093">G63/D62</f>
        <v>1.0733955549466117E-3</v>
      </c>
      <c r="O63" s="6">
        <f t="shared" ref="O63" si="1094">1-(+N63-1)^12</f>
        <v>1.2804974337627506E-2</v>
      </c>
      <c r="P63" s="20">
        <f t="shared" ref="P63" si="1095">AVERAGE(O61:O63)</f>
        <v>1.7421177168514729E-2</v>
      </c>
      <c r="Q63" s="20">
        <f t="shared" ref="Q63" si="1096">AVERAGE(O58:O63)</f>
        <v>3.9043198916562126E-2</v>
      </c>
      <c r="R63" s="17">
        <f t="shared" ref="R63" si="1097">AVERAGE(O52:O63)</f>
        <v>3.9778463220421632E-2</v>
      </c>
      <c r="S63" s="26">
        <v>37980880</v>
      </c>
      <c r="T63" s="26">
        <v>1231296</v>
      </c>
      <c r="U63" s="26">
        <v>1109102</v>
      </c>
      <c r="V63" s="26">
        <v>581121</v>
      </c>
      <c r="W63" s="26">
        <v>365986</v>
      </c>
      <c r="X63" s="26">
        <v>190243</v>
      </c>
      <c r="Y63" s="26">
        <v>72845.91</v>
      </c>
      <c r="Z63" s="26">
        <f t="shared" ref="Z63" si="1098">Z62+Y63</f>
        <v>1747602.3699999999</v>
      </c>
      <c r="AA63" s="4">
        <f t="shared" ref="AA63" si="1099">Z63/$D$4</f>
        <v>2.9126670559311906E-2</v>
      </c>
      <c r="AB63" s="2">
        <v>36303275.399999999</v>
      </c>
      <c r="AC63" s="8">
        <f t="shared" ref="AC63" si="1100">+AB63/$AB$4</f>
        <v>0.65766803260869566</v>
      </c>
      <c r="AD63" s="2">
        <f t="shared" ref="AD63" si="1101">AB63*$AD$2</f>
        <v>29595061.467391301</v>
      </c>
      <c r="AE63" s="2">
        <v>3600000</v>
      </c>
      <c r="AF63" s="8">
        <f t="shared" ref="AF63" si="1102">+AE63/$AE$4</f>
        <v>1</v>
      </c>
      <c r="AG63" s="2">
        <v>1200000</v>
      </c>
      <c r="AH63" s="8">
        <f t="shared" ref="AH63" si="1103">+AG63/$AG$4</f>
        <v>1</v>
      </c>
      <c r="AI63" s="8">
        <f t="shared" ref="AI63" si="1104">+AB63/D63</f>
        <v>0.85942544344819771</v>
      </c>
      <c r="AJ63" s="2">
        <f t="shared" ref="AJ63" si="1105">(AB62*4.8075%*30/360)*3</f>
        <v>439442.08182993752</v>
      </c>
      <c r="AK63" s="4">
        <f t="shared" ref="AK63" si="1106">((+D63+AJ63)-AB63)/D63</f>
        <v>0.15097768689982846</v>
      </c>
      <c r="AL63" s="4">
        <f t="shared" ref="AL63" si="1107">+S63/$D63</f>
        <v>0.8991402091656111</v>
      </c>
      <c r="AM63" s="4">
        <f t="shared" ref="AM63" si="1108">+T63/$D63</f>
        <v>2.9149080879241878E-2</v>
      </c>
      <c r="AN63" s="4">
        <f t="shared" ref="AN63" si="1109">+U63/$D63</f>
        <v>2.6256321714136104E-2</v>
      </c>
      <c r="AO63" s="4">
        <f t="shared" ref="AO63" si="1110">+V63/$D63</f>
        <v>1.375716564467514E-2</v>
      </c>
      <c r="AP63" s="4">
        <f t="shared" ref="AP63" si="1111">+W63/$D63</f>
        <v>8.6641680917262931E-3</v>
      </c>
      <c r="AQ63" s="4">
        <f t="shared" ref="AQ63" si="1112">+X63/$D63</f>
        <v>4.5037168915594726E-3</v>
      </c>
      <c r="AR63" s="4">
        <f t="shared" ref="AR63" si="1113">+Y63/$D63</f>
        <v>1.7245173559501329E-3</v>
      </c>
    </row>
    <row r="64" spans="1:44" x14ac:dyDescent="0.25">
      <c r="A64">
        <f t="shared" si="360"/>
        <v>60</v>
      </c>
      <c r="B64" s="3">
        <f t="shared" si="981"/>
        <v>45325</v>
      </c>
      <c r="C64" s="41">
        <v>1731</v>
      </c>
      <c r="D64" s="2">
        <v>41890059.799999997</v>
      </c>
      <c r="E64" s="32">
        <v>6.3899999999999998E-2</v>
      </c>
      <c r="F64" s="8">
        <f t="shared" ref="F64" si="1114">+D64/$D$4</f>
        <v>0.69816680982440826</v>
      </c>
      <c r="G64" s="2">
        <v>183770.21</v>
      </c>
      <c r="H64" s="8"/>
      <c r="I64" s="8"/>
      <c r="J64" s="8"/>
      <c r="K64" s="8"/>
      <c r="L64" s="8"/>
      <c r="M64" s="8"/>
      <c r="N64" s="6">
        <f t="shared" ref="N64" si="1115">G64/D63</f>
        <v>4.350483323656752E-3</v>
      </c>
      <c r="O64" s="6">
        <f t="shared" ref="O64" si="1116">1-(+N64-1)^12</f>
        <v>5.0974576122399307E-2</v>
      </c>
      <c r="P64" s="20">
        <f t="shared" ref="P64" si="1117">AVERAGE(O62:O64)</f>
        <v>2.92480568508315E-2</v>
      </c>
      <c r="Q64" s="20">
        <f t="shared" ref="Q64" si="1118">AVERAGE(O59:O64)</f>
        <v>4.0374652858895799E-2</v>
      </c>
      <c r="R64" s="17">
        <f t="shared" ref="R64" si="1119">AVERAGE(O53:O64)</f>
        <v>4.0590507011359987E-2</v>
      </c>
      <c r="S64" s="26">
        <v>37642442</v>
      </c>
      <c r="T64" s="26">
        <v>1474506</v>
      </c>
      <c r="U64" s="26">
        <v>994284</v>
      </c>
      <c r="V64" s="26">
        <v>401142</v>
      </c>
      <c r="W64" s="26">
        <v>391968</v>
      </c>
      <c r="X64" s="26">
        <v>169253</v>
      </c>
      <c r="Y64" s="26">
        <v>105578.37</v>
      </c>
      <c r="Z64" s="26">
        <f t="shared" ref="Z64" si="1120">Z63+Y64</f>
        <v>1853180.7399999998</v>
      </c>
      <c r="AA64" s="4">
        <f t="shared" ref="AA64" si="1121">Z64/$D$4</f>
        <v>3.0886307908155244E-2</v>
      </c>
      <c r="AB64" s="2">
        <v>35888393.869999997</v>
      </c>
      <c r="AC64" s="8">
        <f t="shared" ref="AC64" si="1122">+AB64/$AB$4</f>
        <v>0.65015206286231875</v>
      </c>
      <c r="AD64" s="2">
        <f t="shared" ref="AD64" si="1123">AB64*$AD$2</f>
        <v>29256842.828804344</v>
      </c>
      <c r="AE64" s="2">
        <v>3600000</v>
      </c>
      <c r="AF64" s="8">
        <f t="shared" ref="AF64" si="1124">+AE64/$AE$4</f>
        <v>1</v>
      </c>
      <c r="AG64" s="2">
        <v>1200000</v>
      </c>
      <c r="AH64" s="8">
        <f t="shared" ref="AH64" si="1125">+AG64/$AG$4</f>
        <v>1</v>
      </c>
      <c r="AI64" s="8">
        <f t="shared" ref="AI64" si="1126">+AB64/D64</f>
        <v>0.85672816036419219</v>
      </c>
      <c r="AJ64" s="2">
        <f t="shared" ref="AJ64" si="1127">(AB63*4.8075%*30/360)*3</f>
        <v>436319.99121374998</v>
      </c>
      <c r="AK64" s="4">
        <f t="shared" ref="AK64" si="1128">((+D64+AJ64)-AB64)/D64</f>
        <v>0.15368767559538662</v>
      </c>
      <c r="AL64" s="4">
        <f t="shared" ref="AL64" si="1129">+S64/$D64</f>
        <v>0.89860081794392666</v>
      </c>
      <c r="AM64" s="4">
        <f t="shared" ref="AM64" si="1130">+T64/$D64</f>
        <v>3.5199424566111505E-2</v>
      </c>
      <c r="AN64" s="4">
        <f t="shared" ref="AN64" si="1131">+U64/$D64</f>
        <v>2.3735559336680635E-2</v>
      </c>
      <c r="AO64" s="4">
        <f t="shared" ref="AO64" si="1132">+V64/$D64</f>
        <v>9.5760665397761034E-3</v>
      </c>
      <c r="AP64" s="4">
        <f t="shared" ref="AP64" si="1133">+W64/$D64</f>
        <v>9.3570647039276852E-3</v>
      </c>
      <c r="AQ64" s="4">
        <f t="shared" ref="AQ64" si="1134">+X64/$D64</f>
        <v>4.0404096057174883E-3</v>
      </c>
      <c r="AR64" s="4">
        <f t="shared" ref="AR64" si="1135">+Y64/$D64</f>
        <v>2.5203680898063553E-3</v>
      </c>
    </row>
    <row r="65" spans="1:44" x14ac:dyDescent="0.25">
      <c r="A65">
        <f t="shared" si="360"/>
        <v>61</v>
      </c>
      <c r="B65" s="3">
        <f t="shared" si="981"/>
        <v>45356</v>
      </c>
      <c r="C65" s="41">
        <v>1721</v>
      </c>
      <c r="D65" s="2">
        <v>41645125.140000001</v>
      </c>
      <c r="E65" s="32">
        <v>6.3899999999999998E-2</v>
      </c>
      <c r="F65" s="8">
        <f t="shared" ref="F65" si="1136">+D65/$D$4</f>
        <v>0.69408457048161254</v>
      </c>
      <c r="G65" s="2">
        <v>114626.19</v>
      </c>
      <c r="H65" s="8"/>
      <c r="I65" s="8"/>
      <c r="J65" s="8"/>
      <c r="K65" s="8"/>
      <c r="L65" s="8"/>
      <c r="M65" s="8"/>
      <c r="N65" s="6">
        <f t="shared" ref="N65" si="1137">G65/D64</f>
        <v>2.7363577552114169E-3</v>
      </c>
      <c r="O65" s="6">
        <f t="shared" ref="O65" si="1138">1-(+N65-1)^12</f>
        <v>3.2346587840920149E-2</v>
      </c>
      <c r="P65" s="20">
        <f t="shared" ref="P65" si="1139">AVERAGE(O63:O65)</f>
        <v>3.2042046100315656E-2</v>
      </c>
      <c r="Q65" s="20">
        <f t="shared" ref="Q65" si="1140">AVERAGE(O60:O65)</f>
        <v>3.140088572098023E-2</v>
      </c>
      <c r="R65" s="17">
        <f t="shared" ref="R65" si="1141">AVERAGE(O54:O65)</f>
        <v>4.278694863928361E-2</v>
      </c>
      <c r="S65" s="26">
        <v>37245618</v>
      </c>
      <c r="T65" s="26">
        <v>1405897</v>
      </c>
      <c r="U65" s="26">
        <v>1187309</v>
      </c>
      <c r="V65" s="26">
        <v>509641</v>
      </c>
      <c r="W65" s="26">
        <v>260451</v>
      </c>
      <c r="X65" s="26">
        <v>197315</v>
      </c>
      <c r="Y65" s="26">
        <v>55487.88</v>
      </c>
      <c r="Z65" s="26">
        <f t="shared" ref="Z65" si="1142">Z64+Y65</f>
        <v>1908668.6199999996</v>
      </c>
      <c r="AA65" s="4">
        <f t="shared" ref="AA65" si="1143">Z65/$D$4</f>
        <v>3.1811104777591068E-2</v>
      </c>
      <c r="AB65" s="2">
        <v>35599324.740000002</v>
      </c>
      <c r="AC65" s="8">
        <f t="shared" ref="AC65" si="1144">+AB65/$AB$4</f>
        <v>0.64491530326086965</v>
      </c>
      <c r="AD65" s="2">
        <f t="shared" ref="AD65" si="1145">AB65*$AD$2</f>
        <v>29021188.646739129</v>
      </c>
      <c r="AE65" s="2">
        <v>3600000</v>
      </c>
      <c r="AF65" s="8">
        <f t="shared" ref="AF65" si="1146">+AE65/$AE$4</f>
        <v>1</v>
      </c>
      <c r="AG65" s="2">
        <v>1200000</v>
      </c>
      <c r="AH65" s="8">
        <f t="shared" ref="AH65" si="1147">+AG65/$AG$4</f>
        <v>1</v>
      </c>
      <c r="AI65" s="8">
        <f t="shared" ref="AI65" si="1148">+AB65/D65</f>
        <v>0.85482573579319066</v>
      </c>
      <c r="AJ65" s="2">
        <f t="shared" ref="AJ65" si="1149">(AB64*4.8075%*30/360)*3</f>
        <v>431333.63382506242</v>
      </c>
      <c r="AK65" s="4">
        <f t="shared" ref="AK65" si="1150">((+D65+AJ65)-AB65)/D65</f>
        <v>0.15553162613992957</v>
      </c>
      <c r="AL65" s="4">
        <f t="shared" ref="AL65" si="1151">+S65/$D65</f>
        <v>0.89435721167339488</v>
      </c>
      <c r="AM65" s="4">
        <f t="shared" ref="AM65" si="1152">+T65/$D65</f>
        <v>3.3758981279891527E-2</v>
      </c>
      <c r="AN65" s="4">
        <f t="shared" ref="AN65" si="1153">+U65/$D65</f>
        <v>2.8510155654679344E-2</v>
      </c>
      <c r="AO65" s="4">
        <f t="shared" ref="AO65" si="1154">+V65/$D65</f>
        <v>1.2237710855393529E-2</v>
      </c>
      <c r="AP65" s="4">
        <f t="shared" ref="AP65" si="1155">+W65/$D65</f>
        <v>6.2540573266242324E-3</v>
      </c>
      <c r="AQ65" s="4">
        <f t="shared" ref="AQ65" si="1156">+X65/$D65</f>
        <v>4.7380095350098876E-3</v>
      </c>
      <c r="AR65" s="4">
        <f t="shared" ref="AR65" si="1157">+Y65/$D65</f>
        <v>1.332397965271188E-3</v>
      </c>
    </row>
    <row r="66" spans="1:44" x14ac:dyDescent="0.25">
      <c r="A66">
        <f t="shared" si="360"/>
        <v>62</v>
      </c>
      <c r="B66" s="3">
        <f t="shared" si="981"/>
        <v>45387</v>
      </c>
      <c r="C66" s="41">
        <v>1714</v>
      </c>
      <c r="D66" s="2">
        <v>41374508.759999998</v>
      </c>
      <c r="E66" s="32">
        <v>6.3899999999999998E-2</v>
      </c>
      <c r="F66" s="8">
        <f t="shared" ref="F66" si="1158">+D66/$D$4</f>
        <v>0.68957430299541456</v>
      </c>
      <c r="G66" s="2">
        <v>128207.49</v>
      </c>
      <c r="H66" s="8"/>
      <c r="I66" s="8"/>
      <c r="J66" s="8"/>
      <c r="K66" s="8"/>
      <c r="L66" s="8"/>
      <c r="M66" s="8"/>
      <c r="N66" s="6">
        <f t="shared" ref="N66" si="1159">G66/D65</f>
        <v>3.0785713710548357E-3</v>
      </c>
      <c r="O66" s="6">
        <f t="shared" ref="O66" si="1160">1-(+N66-1)^12</f>
        <v>3.6323709540332261E-2</v>
      </c>
      <c r="P66" s="20">
        <f t="shared" ref="P66" si="1161">AVERAGE(O64:O66)</f>
        <v>3.9881624501217239E-2</v>
      </c>
      <c r="Q66" s="20">
        <f t="shared" ref="Q66" si="1162">AVERAGE(O61:O66)</f>
        <v>2.8651400834865986E-2</v>
      </c>
      <c r="R66" s="17">
        <f t="shared" ref="R66" si="1163">AVERAGE(O55:O66)</f>
        <v>4.1095749658082027E-2</v>
      </c>
      <c r="S66" s="26">
        <v>36939979</v>
      </c>
      <c r="T66" s="26">
        <v>1127304</v>
      </c>
      <c r="U66" s="26">
        <v>1333407</v>
      </c>
      <c r="V66" s="26">
        <v>618374</v>
      </c>
      <c r="W66" s="26">
        <v>302113</v>
      </c>
      <c r="X66" s="26">
        <v>150413</v>
      </c>
      <c r="Y66" s="26">
        <v>142272.48000000001</v>
      </c>
      <c r="Z66" s="26">
        <f t="shared" ref="Z66" si="1164">Z65+Y66</f>
        <v>2050941.0999999996</v>
      </c>
      <c r="AA66" s="4">
        <f t="shared" ref="AA66" si="1165">Z66/$D$4</f>
        <v>3.4182309878792831E-2</v>
      </c>
      <c r="AB66" s="2">
        <v>35331757.030000001</v>
      </c>
      <c r="AC66" s="8">
        <f t="shared" ref="AC66" si="1166">+AB66/$AB$4</f>
        <v>0.64006806213768119</v>
      </c>
      <c r="AD66" s="2">
        <f t="shared" ref="AD66" si="1167">AB66*$AD$2</f>
        <v>28803062.796195652</v>
      </c>
      <c r="AE66" s="2">
        <v>3600000</v>
      </c>
      <c r="AF66" s="8">
        <f t="shared" ref="AF66" si="1168">+AE66/$AE$4</f>
        <v>1</v>
      </c>
      <c r="AG66" s="2">
        <v>1200000</v>
      </c>
      <c r="AH66" s="8">
        <f t="shared" ref="AH66" si="1169">+AG66/$AG$4</f>
        <v>1</v>
      </c>
      <c r="AI66" s="8">
        <f t="shared" ref="AI66" si="1170">+AB66/D66</f>
        <v>0.85394988578469844</v>
      </c>
      <c r="AJ66" s="2">
        <f t="shared" ref="AJ66" si="1171">(AB65*4.8075%*30/360)*3</f>
        <v>427859.38421887503</v>
      </c>
      <c r="AK66" s="4">
        <f t="shared" ref="AK66" si="1172">((+D66+AJ66)-AB66)/D66</f>
        <v>0.15639124930165985</v>
      </c>
      <c r="AL66" s="4">
        <f t="shared" ref="AL66" si="1173">+S66/$D66</f>
        <v>0.89281976045387623</v>
      </c>
      <c r="AM66" s="4">
        <f t="shared" ref="AM66" si="1174">+T66/$D66</f>
        <v>2.7246341619162708E-2</v>
      </c>
      <c r="AN66" s="4">
        <f t="shared" ref="AN66" si="1175">+U66/$D66</f>
        <v>3.2227742152412205E-2</v>
      </c>
      <c r="AO66" s="4">
        <f t="shared" ref="AO66" si="1176">+V66/$D66</f>
        <v>1.4945772615379809E-2</v>
      </c>
      <c r="AP66" s="4">
        <f t="shared" ref="AP66" si="1177">+W66/$D66</f>
        <v>7.3019114680601708E-3</v>
      </c>
      <c r="AQ66" s="4">
        <f t="shared" ref="AQ66" si="1178">+X66/$D66</f>
        <v>3.6354026792800526E-3</v>
      </c>
      <c r="AR66" s="4">
        <f t="shared" ref="AR66" si="1179">+Y66/$D66</f>
        <v>3.4386506151716789E-3</v>
      </c>
    </row>
    <row r="67" spans="1:44" x14ac:dyDescent="0.25">
      <c r="A67">
        <f t="shared" si="360"/>
        <v>63</v>
      </c>
      <c r="B67" s="3">
        <f t="shared" si="981"/>
        <v>45418</v>
      </c>
      <c r="C67" s="41">
        <v>1705</v>
      </c>
      <c r="D67" s="2">
        <v>41079924.729999997</v>
      </c>
      <c r="E67" s="32">
        <v>6.3899999999999998E-2</v>
      </c>
      <c r="F67" s="8">
        <f t="shared" ref="F67" si="1180">+D67/$D$4</f>
        <v>0.68466457516422341</v>
      </c>
      <c r="G67" s="2">
        <v>103936.82</v>
      </c>
      <c r="H67" s="8"/>
      <c r="I67" s="8"/>
      <c r="J67" s="8"/>
      <c r="K67" s="8"/>
      <c r="L67" s="8"/>
      <c r="M67" s="8"/>
      <c r="N67" s="6">
        <f t="shared" ref="N67" si="1181">G67/D66</f>
        <v>2.5120979829127044E-3</v>
      </c>
      <c r="O67" s="6">
        <f t="shared" ref="O67" si="1182">1-(+N67-1)^12</f>
        <v>2.9732141812875534E-2</v>
      </c>
      <c r="P67" s="20">
        <f t="shared" ref="P67" si="1183">AVERAGE(O65:O67)</f>
        <v>3.2800813064709312E-2</v>
      </c>
      <c r="Q67" s="20">
        <f t="shared" ref="Q67" si="1184">AVERAGE(O62:O67)</f>
        <v>3.1024434957770408E-2</v>
      </c>
      <c r="R67" s="17">
        <f t="shared" ref="R67" si="1185">AVERAGE(O56:O67)</f>
        <v>3.9289026863716957E-2</v>
      </c>
      <c r="S67" s="26">
        <v>36961714</v>
      </c>
      <c r="T67" s="26">
        <v>1366109</v>
      </c>
      <c r="U67" s="26">
        <v>1065242</v>
      </c>
      <c r="V67" s="26">
        <v>400906</v>
      </c>
      <c r="W67" s="26">
        <v>380427</v>
      </c>
      <c r="X67" s="26">
        <v>127569</v>
      </c>
      <c r="Y67" s="26">
        <v>0</v>
      </c>
      <c r="Z67" s="26">
        <f t="shared" ref="Z67" si="1186">Z66+Y67</f>
        <v>2050941.0999999996</v>
      </c>
      <c r="AA67" s="4">
        <f t="shared" ref="AA67" si="1187">Z67/$D$4</f>
        <v>3.4182309878792831E-2</v>
      </c>
      <c r="AB67" s="2">
        <v>35081463.390000001</v>
      </c>
      <c r="AC67" s="8">
        <f t="shared" ref="AC67" si="1188">+AB67/$AB$4</f>
        <v>0.63553375706521742</v>
      </c>
      <c r="AD67" s="2">
        <f t="shared" ref="AD67" si="1189">AB67*$AD$2</f>
        <v>28599019.067934781</v>
      </c>
      <c r="AE67" s="2">
        <v>3600000</v>
      </c>
      <c r="AF67" s="8">
        <f t="shared" ref="AF67" si="1190">+AE67/$AE$4</f>
        <v>1</v>
      </c>
      <c r="AG67" s="2">
        <v>1200000</v>
      </c>
      <c r="AH67" s="8">
        <f t="shared" ref="AH67" si="1191">+AG67/$AG$4</f>
        <v>1</v>
      </c>
      <c r="AI67" s="8">
        <f t="shared" ref="AI67" si="1192">+AB67/D67</f>
        <v>0.8539807124909502</v>
      </c>
      <c r="AJ67" s="2">
        <f t="shared" ref="AJ67" si="1193">(AB66*4.8075%*30/360)*3</f>
        <v>424643.55480431253</v>
      </c>
      <c r="AK67" s="4">
        <f t="shared" ref="AK67" si="1194">((+D67+AJ67)-AB67)/D67</f>
        <v>0.15635629658575342</v>
      </c>
      <c r="AL67" s="4">
        <f t="shared" ref="AL67" si="1195">+S67/$D67</f>
        <v>0.89975125911093656</v>
      </c>
      <c r="AM67" s="4">
        <f t="shared" ref="AM67" si="1196">+T67/$D67</f>
        <v>3.325490513867356E-2</v>
      </c>
      <c r="AN67" s="4">
        <f t="shared" ref="AN67" si="1197">+U67/$D67</f>
        <v>2.5930962799989535E-2</v>
      </c>
      <c r="AO67" s="4">
        <f t="shared" ref="AO67" si="1198">+V67/$D67</f>
        <v>9.7591707539625774E-3</v>
      </c>
      <c r="AP67" s="4">
        <f t="shared" ref="AP67" si="1199">+W67/$D67</f>
        <v>9.2606547480399929E-3</v>
      </c>
      <c r="AQ67" s="4">
        <f t="shared" ref="AQ67" si="1200">+X67/$D67</f>
        <v>3.1053854367663544E-3</v>
      </c>
      <c r="AR67" s="4">
        <f t="shared" ref="AR67" si="1201">+Y67/$D67</f>
        <v>0</v>
      </c>
    </row>
    <row r="68" spans="1:44" x14ac:dyDescent="0.25">
      <c r="A68">
        <f t="shared" si="360"/>
        <v>64</v>
      </c>
      <c r="B68" s="3">
        <f t="shared" si="981"/>
        <v>45449</v>
      </c>
      <c r="C68" s="41">
        <v>1701</v>
      </c>
      <c r="D68" s="2">
        <v>40849642.859999999</v>
      </c>
      <c r="E68" s="32">
        <v>6.3899999999999998E-2</v>
      </c>
      <c r="F68" s="8">
        <f t="shared" ref="F68" si="1202">+D68/$D$4</f>
        <v>0.68082654868954418</v>
      </c>
      <c r="G68" s="2">
        <v>99690.81</v>
      </c>
      <c r="H68" s="8"/>
      <c r="I68" s="8"/>
      <c r="J68" s="8"/>
      <c r="K68" s="8"/>
      <c r="L68" s="8"/>
      <c r="M68" s="8"/>
      <c r="N68" s="6">
        <f t="shared" ref="N68" si="1203">G68/D67</f>
        <v>2.4267524990667141E-3</v>
      </c>
      <c r="O68" s="6">
        <f t="shared" ref="O68" si="1204">1-(+N68-1)^12</f>
        <v>2.8735474580289244E-2</v>
      </c>
      <c r="P68" s="20">
        <f t="shared" ref="P68" si="1205">AVERAGE(O66:O68)</f>
        <v>3.1597108644499015E-2</v>
      </c>
      <c r="Q68" s="20">
        <f t="shared" ref="Q68" si="1206">AVERAGE(O63:O68)</f>
        <v>3.1819577372407336E-2</v>
      </c>
      <c r="R68" s="17">
        <f t="shared" ref="R68" si="1207">AVERAGE(O57:O68)</f>
        <v>3.7899689706721133E-2</v>
      </c>
      <c r="S68" s="26">
        <v>36809916</v>
      </c>
      <c r="T68" s="26">
        <v>1238587</v>
      </c>
      <c r="U68" s="26">
        <v>1161226</v>
      </c>
      <c r="V68" s="26">
        <v>455207</v>
      </c>
      <c r="W68" s="26">
        <v>202111</v>
      </c>
      <c r="X68" s="26">
        <v>172614</v>
      </c>
      <c r="Y68" s="26">
        <v>25247.360000000001</v>
      </c>
      <c r="Z68" s="26">
        <f t="shared" ref="Z68" si="1208">Z67+Y68</f>
        <v>2076188.4599999997</v>
      </c>
      <c r="AA68" s="4">
        <f t="shared" ref="AA68" si="1209">Z68/$D$4</f>
        <v>3.4603098697711838E-2</v>
      </c>
      <c r="AB68" s="2">
        <v>34784060.280000001</v>
      </c>
      <c r="AC68" s="8">
        <f t="shared" ref="AC68" si="1210">+AB68/$AB$4</f>
        <v>0.63014601956521743</v>
      </c>
      <c r="AD68" s="2">
        <f t="shared" ref="AD68" si="1211">AB68*$AD$2</f>
        <v>28356570.880434781</v>
      </c>
      <c r="AE68" s="2">
        <v>3600000</v>
      </c>
      <c r="AF68" s="8">
        <f t="shared" ref="AF68" si="1212">+AE68/$AE$4</f>
        <v>1</v>
      </c>
      <c r="AG68" s="2">
        <v>1200000</v>
      </c>
      <c r="AH68" s="8">
        <f t="shared" ref="AH68" si="1213">+AG68/$AG$4</f>
        <v>1</v>
      </c>
      <c r="AI68" s="8">
        <f t="shared" ref="AI68" si="1214">+AB68/D68</f>
        <v>0.85151442814841793</v>
      </c>
      <c r="AJ68" s="2">
        <f t="shared" ref="AJ68" si="1215">(AB67*4.8075%*30/360)*3</f>
        <v>421635.33811856247</v>
      </c>
      <c r="AK68" s="4">
        <f t="shared" ref="AK68" si="1216">((+D68+AJ68)-AB68)/D68</f>
        <v>0.15880721259550712</v>
      </c>
      <c r="AL68" s="4">
        <f t="shared" ref="AL68" si="1217">+S68/$D68</f>
        <v>0.90110741301105224</v>
      </c>
      <c r="AM68" s="4">
        <f t="shared" ref="AM68" si="1218">+T68/$D68</f>
        <v>3.0320632281777556E-2</v>
      </c>
      <c r="AN68" s="4">
        <f t="shared" ref="AN68" si="1219">+U68/$D68</f>
        <v>2.842683359508813E-2</v>
      </c>
      <c r="AO68" s="4">
        <f t="shared" ref="AO68" si="1220">+V68/$D68</f>
        <v>1.1143475637231066E-2</v>
      </c>
      <c r="AP68" s="4">
        <f t="shared" ref="AP68" si="1221">+W68/$D68</f>
        <v>4.9476809550740835E-3</v>
      </c>
      <c r="AQ68" s="4">
        <f t="shared" ref="AQ68" si="1222">+X68/$D68</f>
        <v>4.2255938587170304E-3</v>
      </c>
      <c r="AR68" s="4">
        <f t="shared" ref="AR68" si="1223">+Y68/$D68</f>
        <v>6.1805583188396086E-4</v>
      </c>
    </row>
    <row r="69" spans="1:44" x14ac:dyDescent="0.25">
      <c r="A69">
        <f t="shared" si="360"/>
        <v>65</v>
      </c>
      <c r="B69" s="3">
        <f t="shared" si="981"/>
        <v>45480</v>
      </c>
      <c r="C69" s="41">
        <v>1691</v>
      </c>
      <c r="D69" s="2">
        <v>40460815.299999997</v>
      </c>
      <c r="E69" s="32">
        <v>6.3899999999999998E-2</v>
      </c>
      <c r="F69" s="8">
        <f t="shared" ref="F69" si="1224">+D69/$D$4</f>
        <v>0.67434609727856265</v>
      </c>
      <c r="G69" s="2">
        <v>189217.6</v>
      </c>
      <c r="H69" s="8"/>
      <c r="I69" s="8"/>
      <c r="J69" s="8"/>
      <c r="K69" s="8"/>
      <c r="L69" s="8"/>
      <c r="M69" s="8"/>
      <c r="N69" s="6">
        <f t="shared" ref="N69" si="1225">G69/D68</f>
        <v>4.6320502886276647E-3</v>
      </c>
      <c r="O69" s="6">
        <f t="shared" ref="O69" si="1226">1-(+N69-1)^12</f>
        <v>5.419015318302034E-2</v>
      </c>
      <c r="P69" s="20">
        <f t="shared" ref="P69" si="1227">AVERAGE(O67:O69)</f>
        <v>3.755258985872837E-2</v>
      </c>
      <c r="Q69" s="20">
        <f t="shared" ref="Q69" si="1228">AVERAGE(O64:O69)</f>
        <v>3.8717107179972808E-2</v>
      </c>
      <c r="R69" s="17">
        <f t="shared" ref="R69" si="1229">AVERAGE(O58:O69)</f>
        <v>3.8880153048267467E-2</v>
      </c>
      <c r="S69" s="26">
        <v>36833172</v>
      </c>
      <c r="T69" s="26">
        <v>1276374</v>
      </c>
      <c r="U69" s="26">
        <v>859823</v>
      </c>
      <c r="V69" s="26">
        <v>313101</v>
      </c>
      <c r="W69" s="26">
        <v>140918</v>
      </c>
      <c r="X69" s="26">
        <v>166066</v>
      </c>
      <c r="Y69" s="26">
        <v>77615.16</v>
      </c>
      <c r="Z69" s="26">
        <f t="shared" ref="Z69" si="1230">Z68+Y69</f>
        <v>2153803.6199999996</v>
      </c>
      <c r="AA69" s="4">
        <f t="shared" ref="AA69" si="1231">Z69/$D$4</f>
        <v>3.5896683116304881E-2</v>
      </c>
      <c r="AB69" s="2">
        <v>34350708.75</v>
      </c>
      <c r="AC69" s="8">
        <f t="shared" ref="AC69" si="1232">+AB69/$AB$4</f>
        <v>0.62229544836956519</v>
      </c>
      <c r="AD69" s="2">
        <f t="shared" ref="AD69" si="1233">AB69*$AD$2</f>
        <v>28003295.176630434</v>
      </c>
      <c r="AE69" s="2">
        <v>3600000</v>
      </c>
      <c r="AF69" s="8">
        <f t="shared" ref="AF69" si="1234">+AE69/$AE$4</f>
        <v>1</v>
      </c>
      <c r="AG69" s="2">
        <v>1200000</v>
      </c>
      <c r="AH69" s="8">
        <f t="shared" ref="AH69" si="1235">+AG69/$AG$4</f>
        <v>1</v>
      </c>
      <c r="AI69" s="8">
        <f t="shared" ref="AI69" si="1236">+AB69/D69</f>
        <v>0.84898706304615668</v>
      </c>
      <c r="AJ69" s="2">
        <f t="shared" ref="AJ69" si="1237">(AB68*4.8075%*30/360)*3</f>
        <v>418060.92449025001</v>
      </c>
      <c r="AK69" s="4">
        <f t="shared" ref="AK69" si="1238">((+D69+AJ69)-AB69)/D69</f>
        <v>0.16134542584193176</v>
      </c>
      <c r="AL69" s="4">
        <f t="shared" ref="AL69" si="1239">+S69/$D69</f>
        <v>0.91034181409587178</v>
      </c>
      <c r="AM69" s="4">
        <f t="shared" ref="AM69" si="1240">+T69/$D69</f>
        <v>3.1545928833520073E-2</v>
      </c>
      <c r="AN69" s="4">
        <f t="shared" ref="AN69" si="1241">+U69/$D69</f>
        <v>2.1250758137837129E-2</v>
      </c>
      <c r="AO69" s="4">
        <f t="shared" ref="AO69" si="1242">+V69/$D69</f>
        <v>7.73837594913714E-3</v>
      </c>
      <c r="AP69" s="4">
        <f t="shared" ref="AP69" si="1243">+W69/$D69</f>
        <v>3.4828265064643918E-3</v>
      </c>
      <c r="AQ69" s="4">
        <f t="shared" ref="AQ69" si="1244">+X69/$D69</f>
        <v>4.1043661322365897E-3</v>
      </c>
      <c r="AR69" s="4">
        <f t="shared" ref="AR69" si="1245">+Y69/$D69</f>
        <v>1.9182796842949431E-3</v>
      </c>
    </row>
    <row r="70" spans="1:44" x14ac:dyDescent="0.25">
      <c r="A70">
        <f t="shared" si="360"/>
        <v>66</v>
      </c>
      <c r="B70" s="3">
        <f t="shared" si="981"/>
        <v>45511</v>
      </c>
      <c r="C70" s="41">
        <v>1684</v>
      </c>
      <c r="D70" s="2">
        <v>40197042.359999999</v>
      </c>
      <c r="E70" s="32">
        <v>6.3899999999999998E-2</v>
      </c>
      <c r="F70" s="8">
        <f t="shared" ref="F70" si="1246">+D70/$D$4</f>
        <v>0.66994988698626312</v>
      </c>
      <c r="G70" s="2">
        <v>143591.57999999999</v>
      </c>
      <c r="H70" s="8"/>
      <c r="I70" s="8"/>
      <c r="J70" s="8"/>
      <c r="K70" s="8"/>
      <c r="L70" s="8"/>
      <c r="M70" s="8"/>
      <c r="N70" s="6">
        <f t="shared" ref="N70" si="1247">G70/D69</f>
        <v>3.5489047597120466E-3</v>
      </c>
      <c r="O70" s="6">
        <f t="shared" ref="O70" si="1248">1-(+N70-1)^12</f>
        <v>4.1765360636062621E-2</v>
      </c>
      <c r="P70" s="20">
        <f t="shared" ref="P70" si="1249">AVERAGE(O68:O70)</f>
        <v>4.1563662799790735E-2</v>
      </c>
      <c r="Q70" s="20">
        <f t="shared" ref="Q70" si="1250">AVERAGE(O65:O70)</f>
        <v>3.7182237932250027E-2</v>
      </c>
      <c r="R70" s="17">
        <f t="shared" ref="R70" si="1251">AVERAGE(O59:O70)</f>
        <v>3.8778445395572909E-2</v>
      </c>
      <c r="S70" s="26">
        <v>36619306</v>
      </c>
      <c r="T70" s="26">
        <v>1401472</v>
      </c>
      <c r="U70" s="26">
        <v>654871</v>
      </c>
      <c r="V70" s="26">
        <v>419996</v>
      </c>
      <c r="W70" s="26">
        <v>96816</v>
      </c>
      <c r="X70" s="26">
        <v>248161</v>
      </c>
      <c r="Y70" s="26">
        <v>13261.05</v>
      </c>
      <c r="Z70" s="26">
        <f t="shared" ref="Z70" si="1252">Z69+Y70</f>
        <v>2167064.6699999995</v>
      </c>
      <c r="AA70" s="4">
        <f t="shared" ref="AA70" si="1253">Z70/$D$4</f>
        <v>3.6117700346111316E-2</v>
      </c>
      <c r="AB70" s="2">
        <v>34066017.740000002</v>
      </c>
      <c r="AC70" s="8">
        <f t="shared" ref="AC70" si="1254">+AB70/$AB$4</f>
        <v>0.61713800253623197</v>
      </c>
      <c r="AD70" s="2">
        <f t="shared" ref="AD70" si="1255">AB70*$AD$2</f>
        <v>27771210.114130434</v>
      </c>
      <c r="AE70" s="2">
        <v>3600000</v>
      </c>
      <c r="AF70" s="8">
        <f t="shared" ref="AF70" si="1256">+AE70/$AE$4</f>
        <v>1</v>
      </c>
      <c r="AG70" s="2">
        <v>1200000</v>
      </c>
      <c r="AH70" s="8">
        <f t="shared" ref="AH70" si="1257">+AG70/$AG$4</f>
        <v>1</v>
      </c>
      <c r="AI70" s="8">
        <f t="shared" ref="AI70" si="1258">+AB70/D70</f>
        <v>0.84747572806249627</v>
      </c>
      <c r="AJ70" s="2">
        <f t="shared" ref="AJ70" si="1259">(AB69*4.8075%*30/360)*3</f>
        <v>412852.58078906254</v>
      </c>
      <c r="AK70" s="4">
        <f t="shared" ref="AK70" si="1260">((+D70+AJ70)-AB70)/D70</f>
        <v>0.16279499228283661</v>
      </c>
      <c r="AL70" s="4">
        <f t="shared" ref="AL70" si="1261">+S70/$D70</f>
        <v>0.91099503471030996</v>
      </c>
      <c r="AM70" s="4">
        <f t="shared" ref="AM70" si="1262">+T70/$D70</f>
        <v>3.4865052693394231E-2</v>
      </c>
      <c r="AN70" s="4">
        <f t="shared" ref="AN70" si="1263">+U70/$D70</f>
        <v>1.6291522001421203E-2</v>
      </c>
      <c r="AO70" s="4">
        <f t="shared" ref="AO70" si="1264">+V70/$D70</f>
        <v>1.0448430415316755E-2</v>
      </c>
      <c r="AP70" s="4">
        <f t="shared" ref="AP70" si="1265">+W70/$D70</f>
        <v>2.4085354124546592E-3</v>
      </c>
      <c r="AQ70" s="4">
        <f t="shared" ref="AQ70" si="1266">+X70/$D70</f>
        <v>6.1736134160692516E-3</v>
      </c>
      <c r="AR70" s="4">
        <f t="shared" ref="AR70" si="1267">+Y70/$D70</f>
        <v>3.2990113753234853E-4</v>
      </c>
    </row>
    <row r="71" spans="1:44" x14ac:dyDescent="0.25">
      <c r="A71">
        <f t="shared" si="360"/>
        <v>67</v>
      </c>
      <c r="B71" s="3">
        <f t="shared" si="981"/>
        <v>45542</v>
      </c>
      <c r="C71" s="41">
        <v>1683</v>
      </c>
      <c r="D71" s="2">
        <v>40006394.43</v>
      </c>
      <c r="E71" s="32">
        <v>6.3899999999999998E-2</v>
      </c>
      <c r="F71" s="8">
        <f t="shared" ref="F71" si="1268">+D71/$D$4</f>
        <v>0.66677242537070991</v>
      </c>
      <c r="G71" s="2">
        <v>45510.31</v>
      </c>
      <c r="H71" s="8"/>
      <c r="I71" s="8"/>
      <c r="J71" s="8"/>
      <c r="K71" s="8"/>
      <c r="L71" s="8"/>
      <c r="M71" s="8"/>
      <c r="N71" s="6">
        <f t="shared" ref="N71" si="1269">G71/D70</f>
        <v>1.1321805617541458E-3</v>
      </c>
      <c r="O71" s="6">
        <f t="shared" ref="O71" si="1270">1-(+N71-1)^12</f>
        <v>1.3501884241342799E-2</v>
      </c>
      <c r="P71" s="20">
        <f t="shared" ref="P71" si="1271">AVERAGE(O69:O71)</f>
        <v>3.6485799353475255E-2</v>
      </c>
      <c r="Q71" s="20">
        <f t="shared" ref="Q71" si="1272">AVERAGE(O66:O71)</f>
        <v>3.4041453998987135E-2</v>
      </c>
      <c r="R71" s="17">
        <f t="shared" ref="R71" si="1273">AVERAGE(O60:O71)</f>
        <v>3.2721169859983683E-2</v>
      </c>
      <c r="S71" s="26">
        <v>36366206</v>
      </c>
      <c r="T71" s="26">
        <v>1398039</v>
      </c>
      <c r="U71" s="26">
        <v>631669</v>
      </c>
      <c r="V71" s="26">
        <v>356930</v>
      </c>
      <c r="W71" s="26">
        <v>221593</v>
      </c>
      <c r="X71" s="26">
        <v>170415</v>
      </c>
      <c r="Y71" s="26">
        <v>0</v>
      </c>
      <c r="Z71" s="26">
        <f t="shared" ref="Z71" si="1274">Z70+Y71</f>
        <v>2167064.6699999995</v>
      </c>
      <c r="AA71" s="4">
        <f t="shared" ref="AA71" si="1275">Z71/$D$4</f>
        <v>3.6117700346111316E-2</v>
      </c>
      <c r="AB71" s="2">
        <v>33840060.090000004</v>
      </c>
      <c r="AC71" s="8">
        <f t="shared" ref="AC71" si="1276">+AB71/$AB$4</f>
        <v>0.61304456684782616</v>
      </c>
      <c r="AD71" s="2">
        <f t="shared" ref="AD71" si="1277">AB71*$AD$2</f>
        <v>27587005.508152176</v>
      </c>
      <c r="AE71" s="2">
        <v>3600000</v>
      </c>
      <c r="AF71" s="8">
        <f t="shared" ref="AF71" si="1278">+AE71/$AE$4</f>
        <v>1</v>
      </c>
      <c r="AG71" s="2">
        <v>1200000</v>
      </c>
      <c r="AH71" s="8">
        <f t="shared" ref="AH71" si="1279">+AG71/$AG$4</f>
        <v>1</v>
      </c>
      <c r="AI71" s="8">
        <f t="shared" ref="AI71" si="1280">+AB71/D71</f>
        <v>0.84586628143185072</v>
      </c>
      <c r="AJ71" s="2">
        <f t="shared" ref="AJ71" si="1281">(AB70*4.8075%*30/360)*3</f>
        <v>409430.95071262494</v>
      </c>
      <c r="AK71" s="4">
        <f t="shared" ref="AK71" si="1282">((+D71+AJ71)-AB71)/D71</f>
        <v>0.16436785629903178</v>
      </c>
      <c r="AL71" s="4">
        <f t="shared" ref="AL71" si="1283">+S71/$D71</f>
        <v>0.90900983500601862</v>
      </c>
      <c r="AM71" s="4">
        <f t="shared" ref="AM71" si="1284">+T71/$D71</f>
        <v>3.494538860396873E-2</v>
      </c>
      <c r="AN71" s="4">
        <f t="shared" ref="AN71" si="1285">+U71/$D71</f>
        <v>1.5789200926497989E-2</v>
      </c>
      <c r="AO71" s="4">
        <f t="shared" ref="AO71" si="1286">+V71/$D71</f>
        <v>8.9218237505638669E-3</v>
      </c>
      <c r="AP71" s="4">
        <f t="shared" ref="AP71" si="1287">+W71/$D71</f>
        <v>5.5389395409707757E-3</v>
      </c>
      <c r="AQ71" s="4">
        <f t="shared" ref="AQ71" si="1288">+X71/$D71</f>
        <v>4.2596940421156569E-3</v>
      </c>
      <c r="AR71" s="4">
        <f t="shared" ref="AR71" si="1289">+Y71/$D71</f>
        <v>0</v>
      </c>
    </row>
    <row r="72" spans="1:44" x14ac:dyDescent="0.25">
      <c r="A72">
        <f t="shared" si="360"/>
        <v>68</v>
      </c>
      <c r="B72" s="3">
        <f t="shared" si="981"/>
        <v>45573</v>
      </c>
      <c r="C72" s="41">
        <v>1676</v>
      </c>
      <c r="D72" s="2">
        <v>39696494.390000001</v>
      </c>
      <c r="E72" s="32">
        <v>6.3899999999999998E-2</v>
      </c>
      <c r="F72" s="8">
        <f t="shared" ref="F72" si="1290">+D72/$D$4</f>
        <v>0.66160743101824893</v>
      </c>
      <c r="G72" s="2">
        <v>132259.93</v>
      </c>
      <c r="H72" s="8"/>
      <c r="I72" s="8"/>
      <c r="J72" s="8"/>
      <c r="K72" s="8"/>
      <c r="L72" s="8"/>
      <c r="M72" s="8"/>
      <c r="N72" s="6">
        <f t="shared" ref="N72" si="1291">G72/D71</f>
        <v>3.3059697551954571E-3</v>
      </c>
      <c r="O72" s="6">
        <f t="shared" ref="O72" si="1292">1-(+N72-1)^12</f>
        <v>3.8958184592100542E-2</v>
      </c>
      <c r="P72" s="20">
        <f t="shared" ref="P72" si="1293">AVERAGE(O70:O72)</f>
        <v>3.1408476489835323E-2</v>
      </c>
      <c r="Q72" s="20">
        <f t="shared" ref="Q72" si="1294">AVERAGE(O67:O72)</f>
        <v>3.4480533174281847E-2</v>
      </c>
      <c r="R72" s="17">
        <f t="shared" ref="R72" si="1295">AVERAGE(O61:O72)</f>
        <v>3.1565967004573918E-2</v>
      </c>
      <c r="S72" s="26">
        <v>36133284</v>
      </c>
      <c r="T72" s="26">
        <v>1207292</v>
      </c>
      <c r="U72" s="26">
        <v>754613</v>
      </c>
      <c r="V72" s="26">
        <v>346673</v>
      </c>
      <c r="W72" s="26">
        <v>203285</v>
      </c>
      <c r="X72" s="26">
        <v>183562</v>
      </c>
      <c r="Y72" s="26">
        <v>65962.14</v>
      </c>
      <c r="Z72" s="26">
        <f t="shared" ref="Z72" si="1296">Z71+Y72</f>
        <v>2233026.8099999996</v>
      </c>
      <c r="AA72" s="4">
        <f t="shared" ref="AA72" si="1297">Z72/$D$4</f>
        <v>3.7217068002134361E-2</v>
      </c>
      <c r="AB72" s="2">
        <v>33483391.059999999</v>
      </c>
      <c r="AC72" s="8">
        <f t="shared" ref="AC72" si="1298">+AB72/$AB$4</f>
        <v>0.60658317137681161</v>
      </c>
      <c r="AD72" s="2">
        <f t="shared" ref="AD72" si="1299">AB72*$AD$2</f>
        <v>27296242.71195652</v>
      </c>
      <c r="AE72" s="2">
        <v>3600000</v>
      </c>
      <c r="AF72" s="8">
        <f t="shared" ref="AF72" si="1300">+AE72/$AE$4</f>
        <v>1</v>
      </c>
      <c r="AG72" s="2">
        <v>1200000</v>
      </c>
      <c r="AH72" s="8">
        <f t="shared" ref="AH72" si="1301">+AG72/$AG$4</f>
        <v>1</v>
      </c>
      <c r="AI72" s="8">
        <f t="shared" ref="AI72" si="1302">+AB72/D72</f>
        <v>0.84348483599183621</v>
      </c>
      <c r="AJ72" s="2">
        <f t="shared" ref="AJ72" si="1303">(AB71*4.8075%*30/360)*3</f>
        <v>406715.22220668755</v>
      </c>
      <c r="AK72" s="4">
        <f t="shared" ref="AK72" si="1304">((+D72+AJ72)-AB72)/D72</f>
        <v>0.16676078464687549</v>
      </c>
      <c r="AL72" s="4">
        <f t="shared" ref="AL72" si="1305">+S72/$D72</f>
        <v>0.91023866352043381</v>
      </c>
      <c r="AM72" s="4">
        <f t="shared" ref="AM72" si="1306">+T72/$D72</f>
        <v>3.0413063383857155E-2</v>
      </c>
      <c r="AN72" s="4">
        <f t="shared" ref="AN72" si="1307">+U72/$D72</f>
        <v>1.900956272325386E-2</v>
      </c>
      <c r="AO72" s="4">
        <f t="shared" ref="AO72" si="1308">+V72/$D72</f>
        <v>8.7330885340679062E-3</v>
      </c>
      <c r="AP72" s="4">
        <f t="shared" ref="AP72" si="1309">+W72/$D72</f>
        <v>5.1209811627902797E-3</v>
      </c>
      <c r="AQ72" s="4">
        <f t="shared" ref="AQ72" si="1310">+X72/$D72</f>
        <v>4.6241362825791832E-3</v>
      </c>
      <c r="AR72" s="4">
        <f t="shared" ref="AR72" si="1311">+Y72/$D72</f>
        <v>1.6616615903649319E-3</v>
      </c>
    </row>
    <row r="73" spans="1:44" x14ac:dyDescent="0.25">
      <c r="A73">
        <f t="shared" si="360"/>
        <v>69</v>
      </c>
      <c r="B73" s="3">
        <f t="shared" si="981"/>
        <v>45604</v>
      </c>
      <c r="C73" s="41">
        <v>1670</v>
      </c>
      <c r="D73" s="2">
        <v>39432795.159999996</v>
      </c>
      <c r="E73" s="32">
        <v>6.4399999999999999E-2</v>
      </c>
      <c r="F73" s="8">
        <f t="shared" ref="F73" si="1312">+D73/$D$4</f>
        <v>0.65721244922444744</v>
      </c>
      <c r="G73" s="2">
        <v>117367.88</v>
      </c>
      <c r="H73" s="8"/>
      <c r="I73" s="8"/>
      <c r="J73" s="8"/>
      <c r="K73" s="8"/>
      <c r="L73" s="8"/>
      <c r="M73" s="8"/>
      <c r="N73" s="6">
        <f t="shared" ref="N73" si="1313">G73/D72</f>
        <v>2.9566308512513463E-3</v>
      </c>
      <c r="O73" s="6">
        <f t="shared" ref="O73" si="1314">1-(+N73-1)^12</f>
        <v>3.4908268705144518E-2</v>
      </c>
      <c r="P73" s="20">
        <f t="shared" ref="P73" si="1315">AVERAGE(O71:O73)</f>
        <v>2.9122779179529285E-2</v>
      </c>
      <c r="Q73" s="20">
        <f t="shared" ref="Q73" si="1316">AVERAGE(O68:O73)</f>
        <v>3.5343220989660008E-2</v>
      </c>
      <c r="R73" s="17">
        <f t="shared" ref="R73" si="1317">AVERAGE(O62:O73)</f>
        <v>3.3183827973715212E-2</v>
      </c>
      <c r="S73" s="26">
        <v>35928732</v>
      </c>
      <c r="T73" s="26">
        <v>1191964</v>
      </c>
      <c r="U73" s="26">
        <v>806171</v>
      </c>
      <c r="V73" s="26">
        <v>223332</v>
      </c>
      <c r="W73" s="26">
        <v>135504</v>
      </c>
      <c r="X73" s="26">
        <v>270544</v>
      </c>
      <c r="Y73" s="26">
        <v>0</v>
      </c>
      <c r="Z73" s="26">
        <f t="shared" ref="Z73" si="1318">Z72+Y73</f>
        <v>2233026.8099999996</v>
      </c>
      <c r="AA73" s="4">
        <f t="shared" ref="AA73" si="1319">Z73/$D$4</f>
        <v>3.7217068002134361E-2</v>
      </c>
      <c r="AB73" s="2">
        <v>33181642.780000001</v>
      </c>
      <c r="AC73" s="8">
        <f t="shared" ref="AC73" si="1320">+AB73/$AB$4</f>
        <v>0.6011167170289855</v>
      </c>
      <c r="AD73" s="2">
        <f t="shared" ref="AD73:AD78" si="1321">AB73*$AD$2</f>
        <v>27050252.266304348</v>
      </c>
      <c r="AE73" s="2">
        <v>3600000</v>
      </c>
      <c r="AF73" s="8">
        <f t="shared" ref="AF73" si="1322">+AE73/$AE$4</f>
        <v>1</v>
      </c>
      <c r="AG73" s="2">
        <v>1200000</v>
      </c>
      <c r="AH73" s="8">
        <f t="shared" ref="AH73" si="1323">+AG73/$AG$4</f>
        <v>1</v>
      </c>
      <c r="AI73" s="8">
        <f t="shared" ref="AI73" si="1324">+AB73/D73</f>
        <v>0.84147326217591933</v>
      </c>
      <c r="AJ73" s="2">
        <f t="shared" ref="AJ73" si="1325">(AB72*4.8075%*30/360)*3</f>
        <v>402428.50630237494</v>
      </c>
      <c r="AK73" s="4">
        <f t="shared" ref="AK73" si="1326">((+D73+AJ73)-AB73)/D73</f>
        <v>0.1687321646691598</v>
      </c>
      <c r="AL73" s="4">
        <f t="shared" ref="AL73" si="1327">+S73/$D73</f>
        <v>0.91113835208023841</v>
      </c>
      <c r="AM73" s="4">
        <f t="shared" ref="AM73" si="1328">+T73/$D73</f>
        <v>3.0227732910222641E-2</v>
      </c>
      <c r="AN73" s="4">
        <f t="shared" ref="AN73" si="1329">+U73/$D73</f>
        <v>2.044417588783478E-2</v>
      </c>
      <c r="AO73" s="4">
        <f t="shared" ref="AO73" si="1330">+V73/$D73</f>
        <v>5.6636106848074628E-3</v>
      </c>
      <c r="AP73" s="4">
        <f t="shared" ref="AP73" si="1331">+W73/$D73</f>
        <v>3.4363275403173324E-3</v>
      </c>
      <c r="AQ73" s="4">
        <f t="shared" ref="AQ73" si="1332">+X73/$D73</f>
        <v>6.8608882252008231E-3</v>
      </c>
      <c r="AR73" s="4">
        <f t="shared" ref="AR73" si="1333">+Y73/$D73</f>
        <v>0</v>
      </c>
    </row>
    <row r="74" spans="1:44" x14ac:dyDescent="0.25">
      <c r="A74">
        <f t="shared" si="360"/>
        <v>70</v>
      </c>
      <c r="B74" s="3">
        <f t="shared" si="981"/>
        <v>45635</v>
      </c>
      <c r="C74" s="41">
        <v>1664</v>
      </c>
      <c r="D74" s="2">
        <v>39218617.140000001</v>
      </c>
      <c r="E74" s="32">
        <v>6.4399999999999999E-2</v>
      </c>
      <c r="F74" s="8">
        <f t="shared" ref="F74" si="1334">+D74/$D$4</f>
        <v>0.65364281992165263</v>
      </c>
      <c r="G74" s="2">
        <v>84958.77</v>
      </c>
      <c r="H74" s="8"/>
      <c r="I74" s="8"/>
      <c r="J74" s="8"/>
      <c r="K74" s="8"/>
      <c r="L74" s="8"/>
      <c r="M74" s="8"/>
      <c r="N74" s="6">
        <f t="shared" ref="N74" si="1335">G74/D73</f>
        <v>2.1545206129891812E-3</v>
      </c>
      <c r="O74" s="6">
        <f t="shared" ref="O74" si="1336">1-(+N74-1)^12</f>
        <v>2.5550067690885969E-2</v>
      </c>
      <c r="P74" s="20">
        <f t="shared" ref="P74" si="1337">AVERAGE(O72:O74)</f>
        <v>3.3138840329377008E-2</v>
      </c>
      <c r="Q74" s="20">
        <f t="shared" ref="Q74" si="1338">AVERAGE(O69:O74)</f>
        <v>3.4812319841426131E-2</v>
      </c>
      <c r="R74" s="17">
        <f t="shared" ref="R74" si="1339">AVERAGE(O63:O74)</f>
        <v>3.331594860691673E-2</v>
      </c>
      <c r="S74" s="26">
        <v>35416319</v>
      </c>
      <c r="T74" s="26">
        <v>1468163</v>
      </c>
      <c r="U74" s="26">
        <v>796067</v>
      </c>
      <c r="V74" s="26">
        <v>313008</v>
      </c>
      <c r="W74" s="26">
        <v>136998</v>
      </c>
      <c r="X74" s="26">
        <v>122741</v>
      </c>
      <c r="Y74" s="26">
        <v>68728.179999999993</v>
      </c>
      <c r="Z74" s="26">
        <f t="shared" ref="Z74" si="1340">Z73+Y74</f>
        <v>2301754.9899999998</v>
      </c>
      <c r="AA74" s="4">
        <f t="shared" ref="AA74" si="1341">Z74/$D$4</f>
        <v>3.8362536268466071E-2</v>
      </c>
      <c r="AB74" s="2">
        <v>32928575.359999999</v>
      </c>
      <c r="AC74" s="8">
        <f t="shared" ref="AC74" si="1342">+AB74/$AB$4</f>
        <v>0.59653216231884054</v>
      </c>
      <c r="AD74" s="2">
        <f t="shared" si="1321"/>
        <v>26843947.304347824</v>
      </c>
      <c r="AE74" s="2">
        <v>3600000</v>
      </c>
      <c r="AF74" s="8">
        <f t="shared" ref="AF74" si="1343">+AE74/$AE$4</f>
        <v>1</v>
      </c>
      <c r="AG74" s="2">
        <v>1200000</v>
      </c>
      <c r="AH74" s="8">
        <f t="shared" ref="AH74" si="1344">+AG74/$AG$4</f>
        <v>1</v>
      </c>
      <c r="AI74" s="8">
        <f t="shared" ref="AI74" si="1345">+AB74/D74</f>
        <v>0.83961592124612072</v>
      </c>
      <c r="AJ74" s="2">
        <f t="shared" ref="AJ74" si="1346">(AB73*4.8075%*30/360)*3</f>
        <v>398801.86916212505</v>
      </c>
      <c r="AK74" s="4">
        <f t="shared" ref="AK74" si="1347">((+D74+AJ74)-AB74)/D74</f>
        <v>0.17055276643959019</v>
      </c>
      <c r="AL74" s="4">
        <f t="shared" ref="AL74" si="1348">+S74/$D74</f>
        <v>0.90304864329033296</v>
      </c>
      <c r="AM74" s="4">
        <f t="shared" ref="AM74" si="1349">+T74/$D74</f>
        <v>3.7435358690977034E-2</v>
      </c>
      <c r="AN74" s="4">
        <f t="shared" ref="AN74" si="1350">+U74/$D74</f>
        <v>2.0298191472643036E-2</v>
      </c>
      <c r="AO74" s="4">
        <f t="shared" ref="AO74" si="1351">+V74/$D74</f>
        <v>7.9811075154089424E-3</v>
      </c>
      <c r="AP74" s="4">
        <f t="shared" ref="AP74" si="1352">+W74/$D74</f>
        <v>3.4931879293691997E-3</v>
      </c>
      <c r="AQ74" s="4">
        <f t="shared" ref="AQ74" si="1353">+X74/$D74</f>
        <v>3.1296615982620542E-3</v>
      </c>
      <c r="AR74" s="4">
        <f t="shared" ref="AR74" si="1354">+Y74/$D74</f>
        <v>1.7524376179470767E-3</v>
      </c>
    </row>
    <row r="75" spans="1:44" x14ac:dyDescent="0.25">
      <c r="A75">
        <f t="shared" si="360"/>
        <v>71</v>
      </c>
      <c r="B75" s="3">
        <f t="shared" si="981"/>
        <v>45666</v>
      </c>
      <c r="C75" s="41">
        <v>1656</v>
      </c>
      <c r="D75" s="2">
        <v>38872721.210000001</v>
      </c>
      <c r="E75" s="32">
        <v>6.5199999999999994E-2</v>
      </c>
      <c r="F75" s="8">
        <f t="shared" ref="F75" si="1355">+D75/$D$4</f>
        <v>0.64787789480260694</v>
      </c>
      <c r="G75" s="2">
        <v>188815.56</v>
      </c>
      <c r="H75" s="8"/>
      <c r="I75" s="8"/>
      <c r="J75" s="8"/>
      <c r="K75" s="8"/>
      <c r="L75" s="8"/>
      <c r="M75" s="8"/>
      <c r="N75" s="6">
        <f t="shared" ref="N75" si="1356">G75/D74</f>
        <v>4.8144369630876791E-3</v>
      </c>
      <c r="O75" s="6">
        <f t="shared" ref="O75" si="1357">1-(+N75-1)^12</f>
        <v>5.6267729071265205E-2</v>
      </c>
      <c r="P75" s="20">
        <f t="shared" ref="P75" si="1358">AVERAGE(O73:O75)</f>
        <v>3.8908688489098564E-2</v>
      </c>
      <c r="Q75" s="20">
        <f t="shared" ref="Q75" si="1359">AVERAGE(O70:O75)</f>
        <v>3.515858248946694E-2</v>
      </c>
      <c r="R75" s="17">
        <f t="shared" ref="R75" si="1360">AVERAGE(O64:O75)</f>
        <v>3.6937844834719874E-2</v>
      </c>
      <c r="S75" s="26">
        <v>35507982</v>
      </c>
      <c r="T75" s="26">
        <v>1282369</v>
      </c>
      <c r="U75" s="26">
        <v>691895</v>
      </c>
      <c r="V75" s="26">
        <v>162839</v>
      </c>
      <c r="W75" s="26">
        <v>175338</v>
      </c>
      <c r="X75" s="26">
        <v>111612</v>
      </c>
      <c r="Y75" s="26">
        <v>4562.5600000000004</v>
      </c>
      <c r="Z75" s="26">
        <f t="shared" ref="Z75" si="1361">Z74+Y75</f>
        <v>2306317.5499999998</v>
      </c>
      <c r="AA75" s="4">
        <f t="shared" ref="AA75" si="1362">Z75/$D$4</f>
        <v>3.8438578842170695E-2</v>
      </c>
      <c r="AB75" s="2">
        <v>32557430.59</v>
      </c>
      <c r="AC75" s="8">
        <f t="shared" ref="AC75" si="1363">+AB75/$AB$4</f>
        <v>0.58980852518115945</v>
      </c>
      <c r="AD75" s="2">
        <f t="shared" si="1321"/>
        <v>26541383.633152172</v>
      </c>
      <c r="AE75" s="2">
        <v>3600000</v>
      </c>
      <c r="AF75" s="8">
        <f t="shared" ref="AF75" si="1364">+AE75/$AE$4</f>
        <v>1</v>
      </c>
      <c r="AG75" s="2">
        <v>1200000</v>
      </c>
      <c r="AH75" s="8">
        <f t="shared" ref="AH75" si="1365">+AG75/$AG$4</f>
        <v>1</v>
      </c>
      <c r="AI75" s="8">
        <f t="shared" ref="AI75" si="1366">+AB75/D75</f>
        <v>0.83753927115410187</v>
      </c>
      <c r="AJ75" s="2">
        <f t="shared" ref="AJ75" si="1367">(AB74*4.8075%*30/360)*3</f>
        <v>395760.31510799995</v>
      </c>
      <c r="AK75" s="4">
        <f t="shared" ref="AK75" si="1368">((+D75+AJ75)-AB75)/D75</f>
        <v>0.17264165528451828</v>
      </c>
      <c r="AL75" s="4">
        <f t="shared" ref="AL75" si="1369">+S75/$D75</f>
        <v>0.9134421490118263</v>
      </c>
      <c r="AM75" s="4">
        <f t="shared" ref="AM75" si="1370">+T75/$D75</f>
        <v>3.2988917680147146E-2</v>
      </c>
      <c r="AN75" s="4">
        <f t="shared" ref="AN75" si="1371">+U75/$D75</f>
        <v>1.7798985470099019E-2</v>
      </c>
      <c r="AO75" s="4">
        <f t="shared" ref="AO75" si="1372">+V75/$D75</f>
        <v>4.1890301201272656E-3</v>
      </c>
      <c r="AP75" s="4">
        <f t="shared" ref="AP75" si="1373">+W75/$D75</f>
        <v>4.5105666529693406E-3</v>
      </c>
      <c r="AQ75" s="4">
        <f t="shared" ref="AQ75" si="1374">+X75/$D75</f>
        <v>2.8712165376085846E-3</v>
      </c>
      <c r="AR75" s="4">
        <f t="shared" ref="AR75" si="1375">+Y75/$D75</f>
        <v>1.1737176760412345E-4</v>
      </c>
    </row>
    <row r="76" spans="1:44" x14ac:dyDescent="0.25">
      <c r="A76">
        <f t="shared" si="360"/>
        <v>72</v>
      </c>
      <c r="B76" s="3">
        <f t="shared" si="981"/>
        <v>45697</v>
      </c>
      <c r="C76" s="41">
        <v>1650</v>
      </c>
      <c r="D76" s="2">
        <v>38677290.990000002</v>
      </c>
      <c r="E76" s="32">
        <v>6.5100000000000005E-2</v>
      </c>
      <c r="F76" s="8">
        <f t="shared" ref="F76" si="1376">+D76/$D$4</f>
        <v>0.64462072845115947</v>
      </c>
      <c r="G76" s="2">
        <v>80127.69</v>
      </c>
      <c r="H76" s="8"/>
      <c r="I76" s="8"/>
      <c r="J76" s="8"/>
      <c r="K76" s="8"/>
      <c r="L76" s="8"/>
      <c r="M76" s="8"/>
      <c r="N76" s="6">
        <f t="shared" ref="N76" si="1377">G76/D75</f>
        <v>2.0612832728413972E-3</v>
      </c>
      <c r="O76" s="6">
        <f t="shared" ref="O76" si="1378">1-(+N76-1)^12</f>
        <v>2.445689050691624E-2</v>
      </c>
      <c r="P76" s="20">
        <f t="shared" ref="P76" si="1379">AVERAGE(O74:O76)</f>
        <v>3.5424895756355802E-2</v>
      </c>
      <c r="Q76" s="20">
        <f t="shared" ref="Q76" si="1380">AVERAGE(O71:O76)</f>
        <v>3.2273837467942545E-2</v>
      </c>
      <c r="R76" s="17">
        <f t="shared" ref="R76" si="1381">AVERAGE(O65:O76)</f>
        <v>3.4728037700096283E-2</v>
      </c>
      <c r="S76" s="26">
        <v>35426484</v>
      </c>
      <c r="T76" s="26">
        <v>1209727</v>
      </c>
      <c r="U76" s="26">
        <v>646916</v>
      </c>
      <c r="V76" s="26">
        <v>224317</v>
      </c>
      <c r="W76" s="26">
        <v>115567</v>
      </c>
      <c r="X76" s="26">
        <v>134380</v>
      </c>
      <c r="Y76" s="26">
        <v>25503.53</v>
      </c>
      <c r="Z76" s="26">
        <f t="shared" ref="Z76" si="1382">Z75+Y76</f>
        <v>2331821.0799999996</v>
      </c>
      <c r="AA76" s="4">
        <f t="shared" ref="AA76" si="1383">Z76/$D$4</f>
        <v>3.8863637155870233E-2</v>
      </c>
      <c r="AB76" s="2">
        <v>32382787.620000001</v>
      </c>
      <c r="AC76" s="8">
        <f t="shared" ref="AC76" si="1384">+AB76/$AB$4</f>
        <v>0.58664470326086959</v>
      </c>
      <c r="AD76" s="2">
        <f t="shared" si="1321"/>
        <v>26399011.646739129</v>
      </c>
      <c r="AE76" s="2">
        <v>3600000</v>
      </c>
      <c r="AF76" s="8">
        <f t="shared" ref="AF76" si="1385">+AE76/$AE$4</f>
        <v>1</v>
      </c>
      <c r="AG76" s="2">
        <v>1200000</v>
      </c>
      <c r="AH76" s="8">
        <f t="shared" ref="AH76" si="1386">+AG76/$AG$4</f>
        <v>1</v>
      </c>
      <c r="AI76" s="8">
        <f t="shared" ref="AI76" si="1387">+AB76/D76</f>
        <v>0.83725583646415558</v>
      </c>
      <c r="AJ76" s="2">
        <f t="shared" ref="AJ76" si="1388">(AB75*4.8075%*30/360)*3</f>
        <v>391299.61890356248</v>
      </c>
      <c r="AK76" s="4">
        <f t="shared" ref="AK76" si="1389">((+D76+AJ76)-AB76)/D76</f>
        <v>0.17286120143813008</v>
      </c>
      <c r="AL76" s="4">
        <f t="shared" ref="AL76" si="1390">+S76/$D76</f>
        <v>0.91595049945870055</v>
      </c>
      <c r="AM76" s="4">
        <f t="shared" ref="AM76" si="1391">+T76/$D76</f>
        <v>3.127744909313257E-2</v>
      </c>
      <c r="AN76" s="4">
        <f t="shared" ref="AN76" si="1392">+U76/$D76</f>
        <v>1.6725990456965042E-2</v>
      </c>
      <c r="AO76" s="4">
        <f t="shared" ref="AO76" si="1393">+V76/$D76</f>
        <v>5.7997081558270732E-3</v>
      </c>
      <c r="AP76" s="4">
        <f t="shared" ref="AP76" si="1394">+W76/$D76</f>
        <v>2.9879807256893921E-3</v>
      </c>
      <c r="AQ76" s="4">
        <f t="shared" ref="AQ76" si="1395">+X76/$D76</f>
        <v>3.4743901798795552E-3</v>
      </c>
      <c r="AR76" s="4">
        <f t="shared" ref="AR76" si="1396">+Y76/$D76</f>
        <v>6.5939287233415409E-4</v>
      </c>
    </row>
    <row r="77" spans="1:44" x14ac:dyDescent="0.25">
      <c r="A77">
        <f t="shared" si="360"/>
        <v>73</v>
      </c>
      <c r="B77" s="3">
        <f t="shared" si="981"/>
        <v>45728</v>
      </c>
      <c r="C77" s="41">
        <v>1643</v>
      </c>
      <c r="D77" s="2">
        <v>38447492.740000002</v>
      </c>
      <c r="E77" s="32">
        <v>6.5100000000000005E-2</v>
      </c>
      <c r="F77" s="8">
        <f t="shared" ref="F77" si="1397">+D77/$D$4</f>
        <v>0.64079076229995979</v>
      </c>
      <c r="G77" s="2">
        <v>129919.82</v>
      </c>
      <c r="H77" s="8"/>
      <c r="I77" s="8"/>
      <c r="J77" s="8"/>
      <c r="K77" s="8"/>
      <c r="L77" s="8"/>
      <c r="M77" s="8"/>
      <c r="N77" s="6">
        <f t="shared" ref="N77" si="1398">G77/D76</f>
        <v>3.3590723826441393E-3</v>
      </c>
      <c r="O77" s="6">
        <f t="shared" ref="O77" si="1399">1-(+N77-1)^12</f>
        <v>3.9572442030977761E-2</v>
      </c>
      <c r="P77" s="20">
        <f t="shared" ref="P77" si="1400">AVERAGE(O75:O77)</f>
        <v>4.00990205363864E-2</v>
      </c>
      <c r="Q77" s="20">
        <f t="shared" ref="Q77" si="1401">AVERAGE(O72:O77)</f>
        <v>3.6618930432881704E-2</v>
      </c>
      <c r="R77" s="17">
        <f t="shared" ref="R77" si="1402">AVERAGE(O66:O77)</f>
        <v>3.5330192215934419E-2</v>
      </c>
      <c r="S77" s="26">
        <v>35289004</v>
      </c>
      <c r="T77" s="26">
        <v>1016227</v>
      </c>
      <c r="U77" s="26">
        <v>755554</v>
      </c>
      <c r="V77" s="26">
        <v>259509</v>
      </c>
      <c r="W77" s="26">
        <v>110402</v>
      </c>
      <c r="X77" s="26">
        <v>56433</v>
      </c>
      <c r="Y77" s="26">
        <v>67960.45</v>
      </c>
      <c r="Z77" s="26">
        <f t="shared" ref="Z77" si="1403">Z76+Y77</f>
        <v>2399781.5299999998</v>
      </c>
      <c r="AA77" s="4">
        <f t="shared" ref="AA77" si="1404">Z77/$D$4</f>
        <v>3.9996309937844428E-2</v>
      </c>
      <c r="AB77" s="2">
        <v>32132147.489999998</v>
      </c>
      <c r="AC77" s="8">
        <f t="shared" ref="AC77" si="1405">+AB77/$AB$4</f>
        <v>0.58210412119565214</v>
      </c>
      <c r="AD77" s="2">
        <f t="shared" si="1321"/>
        <v>26194685.453804344</v>
      </c>
      <c r="AE77" s="2">
        <v>3600000</v>
      </c>
      <c r="AF77" s="8">
        <f t="shared" ref="AF77" si="1406">+AE77/$AE$4</f>
        <v>1</v>
      </c>
      <c r="AG77" s="2">
        <v>1200000</v>
      </c>
      <c r="AH77" s="8">
        <f t="shared" ref="AH77" si="1407">+AG77/$AG$4</f>
        <v>1</v>
      </c>
      <c r="AI77" s="8">
        <f t="shared" ref="AI77" si="1408">+AB77/D77</f>
        <v>0.83574103797333854</v>
      </c>
      <c r="AJ77" s="2">
        <f t="shared" ref="AJ77" si="1409">(AB76*4.8075%*30/360)*3</f>
        <v>389200.62870787503</v>
      </c>
      <c r="AK77" s="4">
        <f t="shared" ref="AK77" si="1410">((+D77+AJ77)-AB77)/D77</f>
        <v>0.17438187514715639</v>
      </c>
      <c r="AL77" s="4">
        <f t="shared" ref="AL77" si="1411">+S77/$D77</f>
        <v>0.91784929224490175</v>
      </c>
      <c r="AM77" s="4">
        <f t="shared" ref="AM77" si="1412">+T77/$D77</f>
        <v>2.6431554506615142E-2</v>
      </c>
      <c r="AN77" s="4">
        <f t="shared" ref="AN77" si="1413">+U77/$D77</f>
        <v>1.9651580536328102E-2</v>
      </c>
      <c r="AO77" s="4">
        <f t="shared" ref="AO77" si="1414">+V77/$D77</f>
        <v>6.7496989141768412E-3</v>
      </c>
      <c r="AP77" s="4">
        <f t="shared" ref="AP77" si="1415">+W77/$D77</f>
        <v>2.8715006397579722E-3</v>
      </c>
      <c r="AQ77" s="4">
        <f t="shared" ref="AQ77" si="1416">+X77/$D77</f>
        <v>1.4677940218787852E-3</v>
      </c>
      <c r="AR77" s="4">
        <f t="shared" ref="AR77" si="1417">+Y77/$D77</f>
        <v>1.7676172139385127E-3</v>
      </c>
    </row>
    <row r="78" spans="1:44" x14ac:dyDescent="0.25">
      <c r="A78">
        <f t="shared" si="360"/>
        <v>74</v>
      </c>
      <c r="B78" s="3">
        <f t="shared" si="981"/>
        <v>45759</v>
      </c>
      <c r="C78" s="41">
        <v>1636</v>
      </c>
      <c r="D78" s="2">
        <v>38162922.810000002</v>
      </c>
      <c r="E78" s="32">
        <v>6.5100000000000005E-2</v>
      </c>
      <c r="F78" s="8">
        <f t="shared" ref="F78" si="1418">+D78/$D$4</f>
        <v>0.6360479359313983</v>
      </c>
      <c r="G78" s="2">
        <v>64329.07</v>
      </c>
      <c r="H78" s="8"/>
      <c r="I78" s="8"/>
      <c r="J78" s="8"/>
      <c r="K78" s="8"/>
      <c r="L78" s="8"/>
      <c r="M78" s="8"/>
      <c r="N78" s="6">
        <f t="shared" ref="N78" si="1419">G78/D77</f>
        <v>1.6731668417242023E-3</v>
      </c>
      <c r="O78" s="6">
        <f t="shared" ref="O78" si="1420">1-(+N78-1)^12</f>
        <v>1.9894262553225128E-2</v>
      </c>
      <c r="P78" s="20">
        <f t="shared" ref="P78" si="1421">AVERAGE(O76:O78)</f>
        <v>2.7974531697039711E-2</v>
      </c>
      <c r="Q78" s="20">
        <f t="shared" ref="Q78" si="1422">AVERAGE(O73:O78)</f>
        <v>3.3441610093069139E-2</v>
      </c>
      <c r="R78" s="17">
        <f t="shared" ref="R78" si="1423">AVERAGE(O67:O78)</f>
        <v>3.3961071633675489E-2</v>
      </c>
      <c r="S78" s="26">
        <v>34973593</v>
      </c>
      <c r="T78" s="26">
        <v>1094806</v>
      </c>
      <c r="U78" s="26">
        <v>911152</v>
      </c>
      <c r="V78" s="26">
        <v>88686</v>
      </c>
      <c r="W78" s="26">
        <v>157643</v>
      </c>
      <c r="X78" s="26">
        <v>35195</v>
      </c>
      <c r="Y78" s="26">
        <v>0</v>
      </c>
      <c r="Z78" s="26">
        <f t="shared" ref="Z78" si="1424">Z77+Y78</f>
        <v>2399781.5299999998</v>
      </c>
      <c r="AA78" s="4">
        <f t="shared" ref="AA78" si="1425">Z78/$D$4</f>
        <v>3.9996309937844428E-2</v>
      </c>
      <c r="AB78" s="2">
        <v>31886289.899999999</v>
      </c>
      <c r="AC78" s="8">
        <f t="shared" ref="AC78" si="1426">+AB78/$AB$4</f>
        <v>0.57765017934782603</v>
      </c>
      <c r="AD78" s="2">
        <f t="shared" si="1321"/>
        <v>25994258.070652172</v>
      </c>
      <c r="AE78" s="2">
        <v>3600000</v>
      </c>
      <c r="AF78" s="8">
        <f t="shared" ref="AF78" si="1427">+AE78/$AE$4</f>
        <v>1</v>
      </c>
      <c r="AG78" s="2">
        <v>1200000</v>
      </c>
      <c r="AH78" s="8">
        <f t="shared" ref="AH78" si="1428">+AG78/$AG$4</f>
        <v>1</v>
      </c>
      <c r="AI78" s="8">
        <f t="shared" ref="AI78" si="1429">+AB78/D78</f>
        <v>0.8355306027987115</v>
      </c>
      <c r="AJ78" s="2">
        <f t="shared" ref="AJ78" si="1430">(AB77*4.8075%*30/360)*3</f>
        <v>386188.24764543748</v>
      </c>
      <c r="AK78" s="4">
        <f t="shared" ref="AK78" si="1431">((+D78+AJ78)-AB78)/D78</f>
        <v>0.17458885921336068</v>
      </c>
      <c r="AL78" s="4">
        <f t="shared" ref="AL78" si="1432">+S78/$D78</f>
        <v>0.91642857582270176</v>
      </c>
      <c r="AM78" s="4">
        <f t="shared" ref="AM78" si="1433">+T78/$D78</f>
        <v>2.8687687404097967E-2</v>
      </c>
      <c r="AN78" s="4">
        <f t="shared" ref="AN78" si="1434">+U78/$D78</f>
        <v>2.3875320151349799E-2</v>
      </c>
      <c r="AO78" s="4">
        <f t="shared" ref="AO78" si="1435">+V78/$D78</f>
        <v>2.3238786096530639E-3</v>
      </c>
      <c r="AP78" s="4">
        <f t="shared" ref="AP78" si="1436">+W78/$D78</f>
        <v>4.1307894781762392E-3</v>
      </c>
      <c r="AQ78" s="4">
        <f t="shared" ref="AQ78" si="1437">+X78/$D78</f>
        <v>9.2223020168616897E-4</v>
      </c>
      <c r="AR78" s="4">
        <f t="shared" ref="AR78" si="1438">+Y78/$D78</f>
        <v>0</v>
      </c>
    </row>
    <row r="79" spans="1:44" x14ac:dyDescent="0.25">
      <c r="A79">
        <f t="shared" si="360"/>
        <v>75</v>
      </c>
      <c r="B79" s="3">
        <f t="shared" si="981"/>
        <v>45790</v>
      </c>
      <c r="C79" s="41">
        <v>1629</v>
      </c>
      <c r="D79" s="2">
        <v>37876298.450000003</v>
      </c>
      <c r="E79" s="32">
        <v>6.5100000000000005E-2</v>
      </c>
      <c r="F79" s="8">
        <f t="shared" ref="F79" si="1439">+D79/$D$4</f>
        <v>0.63127086910469588</v>
      </c>
      <c r="G79" s="2">
        <v>148907.6</v>
      </c>
      <c r="H79" s="8"/>
      <c r="I79" s="8"/>
      <c r="J79" s="8"/>
      <c r="K79" s="8"/>
      <c r="L79" s="8"/>
      <c r="M79" s="8"/>
      <c r="N79" s="6">
        <f t="shared" ref="N79" si="1440">G79/D78</f>
        <v>3.9018919159142882E-3</v>
      </c>
      <c r="O79" s="6">
        <f t="shared" ref="O79" si="1441">1-(+N79-1)^12</f>
        <v>4.5830823953184163E-2</v>
      </c>
      <c r="P79" s="20">
        <f t="shared" ref="P79" si="1442">AVERAGE(O77:O79)</f>
        <v>3.509917617912902E-2</v>
      </c>
      <c r="Q79" s="20">
        <f t="shared" ref="Q79" si="1443">AVERAGE(O74:O79)</f>
        <v>3.5262035967742411E-2</v>
      </c>
      <c r="R79" s="17">
        <f t="shared" ref="R79" si="1444">AVERAGE(O68:O79)</f>
        <v>3.5302628478701213E-2</v>
      </c>
      <c r="S79" s="26">
        <v>34760302</v>
      </c>
      <c r="T79" s="26">
        <v>1258704</v>
      </c>
      <c r="U79" s="26">
        <v>634420</v>
      </c>
      <c r="V79" s="26">
        <v>183545</v>
      </c>
      <c r="W79" s="26">
        <v>85665</v>
      </c>
      <c r="X79" s="26">
        <v>76223</v>
      </c>
      <c r="Y79" s="26">
        <v>868.39</v>
      </c>
      <c r="Z79" s="26">
        <f t="shared" ref="Z79" si="1445">Z78+Y79</f>
        <v>2400649.92</v>
      </c>
      <c r="AA79" s="4">
        <f t="shared" ref="AA79" si="1446">Z79/$D$4</f>
        <v>4.0010783086817672E-2</v>
      </c>
      <c r="AB79" s="2">
        <v>31603026.629999999</v>
      </c>
      <c r="AC79" s="8">
        <f t="shared" ref="AC79" si="1447">+AB79/$AB$4</f>
        <v>0.5725185983695652</v>
      </c>
      <c r="AD79" s="2">
        <f>AB79*$AD$2</f>
        <v>25763336.926630434</v>
      </c>
      <c r="AE79" s="2">
        <v>3600000</v>
      </c>
      <c r="AF79" s="8">
        <f t="shared" ref="AF79" si="1448">+AE79/$AE$4</f>
        <v>1</v>
      </c>
      <c r="AG79" s="2">
        <v>1200000</v>
      </c>
      <c r="AH79" s="8">
        <f t="shared" ref="AH79" si="1449">+AG79/$AG$4</f>
        <v>1</v>
      </c>
      <c r="AI79" s="8">
        <f t="shared" ref="AI79" si="1450">+AB79/D79</f>
        <v>0.83437473890746572</v>
      </c>
      <c r="AJ79" s="2">
        <f t="shared" ref="AJ79" si="1451">(AB78*4.8075%*30/360)*3</f>
        <v>383233.346735625</v>
      </c>
      <c r="AK79" s="4">
        <f t="shared" ref="AK79" si="1452">((+D79+AJ79)-AB79)/D79</f>
        <v>0.17574328641228748</v>
      </c>
      <c r="AL79" s="4">
        <f t="shared" ref="AL79" si="1453">+S79/$D79</f>
        <v>0.91773228701021592</v>
      </c>
      <c r="AM79" s="4">
        <f t="shared" ref="AM79" si="1454">+T79/$D79</f>
        <v>3.3231969635617864E-2</v>
      </c>
      <c r="AN79" s="4">
        <f t="shared" ref="AN79" si="1455">+U79/$D79</f>
        <v>1.6749788811530497E-2</v>
      </c>
      <c r="AO79" s="4">
        <f t="shared" ref="AO79" si="1456">+V79/$D79</f>
        <v>4.8459064774319304E-3</v>
      </c>
      <c r="AP79" s="4">
        <f t="shared" ref="AP79" si="1457">+W79/$D79</f>
        <v>2.261704641309795E-3</v>
      </c>
      <c r="AQ79" s="4">
        <f t="shared" ref="AQ79" si="1458">+X79/$D79</f>
        <v>2.0124194580582095E-3</v>
      </c>
      <c r="AR79" s="4">
        <f t="shared" ref="AR79" si="1459">+Y79/$D79</f>
        <v>2.2927002783715786E-5</v>
      </c>
    </row>
    <row r="80" spans="1:44" x14ac:dyDescent="0.25">
      <c r="A80">
        <f t="shared" si="360"/>
        <v>76</v>
      </c>
      <c r="B80" s="3">
        <f t="shared" si="981"/>
        <v>45821</v>
      </c>
      <c r="C80" s="41">
        <v>1620</v>
      </c>
      <c r="D80" s="2">
        <v>37605988.649999999</v>
      </c>
      <c r="E80" s="32">
        <v>6.5100000000000005E-2</v>
      </c>
      <c r="F80" s="8">
        <f t="shared" ref="F80" si="1460">+D80/$D$4</f>
        <v>0.62676571127891789</v>
      </c>
      <c r="G80" s="2">
        <v>150853.25</v>
      </c>
      <c r="H80" s="8"/>
      <c r="I80" s="8"/>
      <c r="J80" s="8"/>
      <c r="K80" s="8"/>
      <c r="L80" s="8"/>
      <c r="M80" s="8"/>
      <c r="N80" s="6">
        <f t="shared" ref="N80" si="1461">G80/D79</f>
        <v>3.9827875524621123E-3</v>
      </c>
      <c r="O80" s="6">
        <f t="shared" ref="O80" si="1462">1-(+N80-1)^12</f>
        <v>4.6760294502870003E-2</v>
      </c>
      <c r="P80" s="20">
        <f t="shared" ref="P80" si="1463">AVERAGE(O78:O80)</f>
        <v>3.7495127003093098E-2</v>
      </c>
      <c r="Q80" s="20">
        <f t="shared" ref="Q80" si="1464">AVERAGE(O75:O80)</f>
        <v>3.8797073769739752E-2</v>
      </c>
      <c r="R80" s="17">
        <f t="shared" ref="R80" si="1465">AVERAGE(O69:O80)</f>
        <v>3.6804696805582938E-2</v>
      </c>
      <c r="S80" s="26">
        <v>34236749</v>
      </c>
      <c r="T80" s="26">
        <v>1394315</v>
      </c>
      <c r="U80" s="26">
        <v>851465</v>
      </c>
      <c r="V80" s="26">
        <v>138834</v>
      </c>
      <c r="W80" s="26">
        <v>96713</v>
      </c>
      <c r="X80" s="26">
        <v>72504</v>
      </c>
      <c r="Y80" s="26">
        <v>22359.46</v>
      </c>
      <c r="Z80" s="26">
        <f t="shared" ref="Z80" si="1466">Z79+Y80</f>
        <v>2423009.38</v>
      </c>
      <c r="AA80" s="4">
        <f t="shared" ref="AA80" si="1467">Z80/$D$4</f>
        <v>4.0383440297910897E-2</v>
      </c>
      <c r="AB80" s="2">
        <v>31298240.309999999</v>
      </c>
      <c r="AC80" s="8">
        <f t="shared" ref="AC80" si="1468">+AB80/$AB$4</f>
        <v>0.56699710706521733</v>
      </c>
      <c r="AD80" s="2">
        <f t="shared" ref="AD80" si="1469">AB80*$AD$2</f>
        <v>25514869.817934781</v>
      </c>
      <c r="AE80" s="2">
        <v>3600000</v>
      </c>
      <c r="AF80" s="8">
        <f t="shared" ref="AF80" si="1470">+AE80/$AE$4</f>
        <v>1</v>
      </c>
      <c r="AG80" s="2">
        <v>1200000</v>
      </c>
      <c r="AH80" s="8">
        <f t="shared" ref="AH80" si="1471">+AG80/$AG$4</f>
        <v>1</v>
      </c>
      <c r="AI80" s="8">
        <f t="shared" ref="AI80" si="1472">+AB80/D80</f>
        <v>0.83226745083857812</v>
      </c>
      <c r="AJ80" s="2">
        <f t="shared" ref="AJ80" si="1473">(AB79*4.8075%*30/360)*3</f>
        <v>379828.87630931241</v>
      </c>
      <c r="AK80" s="4">
        <f t="shared" ref="AK80" si="1474">((+D80+AJ80)-AB80)/D80</f>
        <v>0.17783277228929634</v>
      </c>
      <c r="AL80" s="4">
        <f t="shared" ref="AL80" si="1475">+S80/$D80</f>
        <v>0.91040683223734375</v>
      </c>
      <c r="AM80" s="4">
        <f t="shared" ref="AM80" si="1476">+T80/$D80</f>
        <v>3.7076940403746039E-2</v>
      </c>
      <c r="AN80" s="4">
        <f t="shared" ref="AN80" si="1477">+U80/$D80</f>
        <v>2.2641739535811937E-2</v>
      </c>
      <c r="AO80" s="4">
        <f t="shared" ref="AO80" si="1478">+V80/$D80</f>
        <v>3.6918056135189525E-3</v>
      </c>
      <c r="AP80" s="4">
        <f t="shared" ref="AP80" si="1479">+W80/$D80</f>
        <v>2.5717446468462943E-3</v>
      </c>
      <c r="AQ80" s="4">
        <f t="shared" ref="AQ80" si="1480">+X80/$D80</f>
        <v>1.927990796221229E-3</v>
      </c>
      <c r="AR80" s="4">
        <f t="shared" ref="AR80" si="1481">+Y80/$D80</f>
        <v>5.945717903629692E-4</v>
      </c>
    </row>
    <row r="81" spans="1:44" x14ac:dyDescent="0.25">
      <c r="A81">
        <f t="shared" si="360"/>
        <v>77</v>
      </c>
      <c r="B81" s="3">
        <f t="shared" si="981"/>
        <v>45852</v>
      </c>
      <c r="C81" s="41">
        <v>1608</v>
      </c>
      <c r="D81" s="2">
        <v>37170345.270000003</v>
      </c>
      <c r="E81" s="32">
        <v>6.5100000000000005E-2</v>
      </c>
      <c r="F81" s="8">
        <f t="shared" ref="F81" si="1482">+D81/$D$4</f>
        <v>0.61950499715514107</v>
      </c>
      <c r="G81" s="2">
        <v>304887.8</v>
      </c>
      <c r="H81" s="8"/>
      <c r="I81" s="8"/>
      <c r="J81" s="8"/>
      <c r="K81" s="8"/>
      <c r="L81" s="8"/>
      <c r="M81" s="8"/>
      <c r="N81" s="6">
        <f t="shared" ref="N81" si="1483">G81/D80</f>
        <v>8.1074267941098257E-3</v>
      </c>
      <c r="O81" s="6">
        <f t="shared" ref="O81" si="1484">1-(+N81-1)^12</f>
        <v>9.306604491839543E-2</v>
      </c>
      <c r="P81" s="20">
        <f t="shared" ref="P81" si="1485">AVERAGE(O79:O81)</f>
        <v>6.188572112481653E-2</v>
      </c>
      <c r="Q81" s="20">
        <f t="shared" ref="Q81" si="1486">AVERAGE(O76:O81)</f>
        <v>4.4930126410928119E-2</v>
      </c>
      <c r="R81" s="17">
        <f t="shared" ref="R81" si="1487">AVERAGE(O70:O81)</f>
        <v>4.0044354450197529E-2</v>
      </c>
      <c r="S81" s="26">
        <v>33777982</v>
      </c>
      <c r="T81" s="26">
        <v>1496125</v>
      </c>
      <c r="U81" s="26">
        <v>739865</v>
      </c>
      <c r="V81" s="26">
        <v>152382</v>
      </c>
      <c r="W81" s="26">
        <v>139899</v>
      </c>
      <c r="X81" s="26">
        <v>13587</v>
      </c>
      <c r="Y81" s="26">
        <v>61573.61</v>
      </c>
      <c r="Z81" s="26">
        <f t="shared" ref="Z81" si="1488">Z80+Y81</f>
        <v>2484582.9899999998</v>
      </c>
      <c r="AA81" s="4">
        <f t="shared" ref="AA81" si="1489">Z81/$D$4</f>
        <v>4.140966587668346E-2</v>
      </c>
      <c r="AB81" s="2">
        <v>30735024.66</v>
      </c>
      <c r="AC81" s="8">
        <f t="shared" ref="AC81" si="1490">+AB81/$AB$4</f>
        <v>0.55679392500000002</v>
      </c>
      <c r="AD81" s="2">
        <f t="shared" ref="AD81" si="1491">AB81*$AD$2</f>
        <v>25055726.625</v>
      </c>
      <c r="AE81" s="2">
        <v>3600000</v>
      </c>
      <c r="AF81" s="8">
        <f t="shared" ref="AF81" si="1492">+AE81/$AE$4</f>
        <v>1</v>
      </c>
      <c r="AG81" s="2">
        <v>1200000</v>
      </c>
      <c r="AH81" s="8">
        <f t="shared" ref="AH81" si="1493">+AG81/$AG$4</f>
        <v>1</v>
      </c>
      <c r="AI81" s="8">
        <f t="shared" ref="AI81" si="1494">+AB81/D81</f>
        <v>0.82686949601208259</v>
      </c>
      <c r="AJ81" s="2">
        <f t="shared" ref="AJ81" si="1495">(AB80*4.8075%*30/360)*3</f>
        <v>376165.72572581249</v>
      </c>
      <c r="AK81" s="4">
        <f t="shared" ref="AK81" si="1496">((+D81+AJ81)-AB81)/D81</f>
        <v>0.18325055326358064</v>
      </c>
      <c r="AL81" s="4">
        <f t="shared" ref="AL81" si="1497">+S81/$D81</f>
        <v>0.9087346849926099</v>
      </c>
      <c r="AM81" s="4">
        <f t="shared" ref="AM81" si="1498">+T81/$D81</f>
        <v>4.0250500476451449E-2</v>
      </c>
      <c r="AN81" s="4">
        <f t="shared" ref="AN81" si="1499">+U81/$D81</f>
        <v>1.9904711528120813E-2</v>
      </c>
      <c r="AO81" s="4">
        <f t="shared" ref="AO81" si="1500">+V81/$D81</f>
        <v>4.0995583681862312E-3</v>
      </c>
      <c r="AP81" s="4">
        <f t="shared" ref="AP81" si="1501">+W81/$D81</f>
        <v>3.763726136622997E-3</v>
      </c>
      <c r="AQ81" s="4">
        <f t="shared" ref="AQ81" si="1502">+X81/$D81</f>
        <v>3.6553332774570696E-4</v>
      </c>
      <c r="AR81" s="4">
        <f t="shared" ref="AR81" si="1503">+Y81/$D81</f>
        <v>1.6565251022754354E-3</v>
      </c>
    </row>
    <row r="82" spans="1:44" x14ac:dyDescent="0.25">
      <c r="A82">
        <f t="shared" si="360"/>
        <v>78</v>
      </c>
      <c r="B82" s="3">
        <f t="shared" si="981"/>
        <v>45883</v>
      </c>
      <c r="C82" s="41">
        <v>1603</v>
      </c>
      <c r="D82" s="2">
        <v>36969501.329999998</v>
      </c>
      <c r="E82" s="32">
        <v>6.6100000000000006E-2</v>
      </c>
      <c r="F82" s="8">
        <f t="shared" ref="F82" si="1504">+D82/$D$4</f>
        <v>0.61615760224733118</v>
      </c>
      <c r="G82" s="2">
        <v>64907.1</v>
      </c>
      <c r="H82" s="8"/>
      <c r="I82" s="8"/>
      <c r="J82" s="8"/>
      <c r="K82" s="8"/>
      <c r="L82" s="8"/>
      <c r="M82" s="8"/>
      <c r="N82" s="6">
        <f t="shared" ref="N82" si="1505">G82/D81</f>
        <v>1.7462065398780729E-3</v>
      </c>
      <c r="O82" s="6">
        <f t="shared" ref="O82" si="1506">1-(+N82-1)^12</f>
        <v>2.075439564003867E-2</v>
      </c>
      <c r="P82" s="20">
        <f t="shared" ref="P82" si="1507">AVERAGE(O80:O82)</f>
        <v>5.3526911687101365E-2</v>
      </c>
      <c r="Q82" s="20">
        <f t="shared" ref="Q82" si="1508">AVERAGE(O77:O82)</f>
        <v>4.4313043933115193E-2</v>
      </c>
      <c r="R82" s="17">
        <f t="shared" ref="R82" si="1509">AVERAGE(O71:O82)</f>
        <v>3.8293440700528869E-2</v>
      </c>
      <c r="S82" s="26">
        <v>33434315</v>
      </c>
      <c r="T82" s="26">
        <v>1402338</v>
      </c>
      <c r="U82" s="26">
        <v>1021868</v>
      </c>
      <c r="V82" s="26">
        <v>132357</v>
      </c>
      <c r="W82" s="26">
        <v>50358</v>
      </c>
      <c r="X82" s="26">
        <v>136074</v>
      </c>
      <c r="Y82" s="26">
        <v>37513.26</v>
      </c>
      <c r="Z82" s="26">
        <f t="shared" ref="Z82" si="1510">Z81+Y82</f>
        <v>2522096.2499999995</v>
      </c>
      <c r="AA82" s="4">
        <f t="shared" ref="AA82" si="1511">Z82/$D$4</f>
        <v>4.2034886112351719E-2</v>
      </c>
      <c r="AB82" s="2">
        <v>30509867.309999999</v>
      </c>
      <c r="AC82" s="8">
        <f t="shared" ref="AC82" si="1512">+AB82/$AB$4</f>
        <v>0.55271498749999992</v>
      </c>
      <c r="AD82" s="2">
        <f t="shared" ref="AD82" si="1513">AB82*$AD$2</f>
        <v>24872174.437499996</v>
      </c>
      <c r="AE82" s="2">
        <v>3600000</v>
      </c>
      <c r="AF82" s="8">
        <f t="shared" ref="AF82" si="1514">+AE82/$AE$4</f>
        <v>1</v>
      </c>
      <c r="AG82" s="2">
        <v>1200000</v>
      </c>
      <c r="AH82" s="8">
        <f t="shared" ref="AH82" si="1515">+AG82/$AG$4</f>
        <v>1</v>
      </c>
      <c r="AI82" s="8">
        <f t="shared" ref="AI82" si="1516">+AB82/D82</f>
        <v>0.82527126989516253</v>
      </c>
      <c r="AJ82" s="2">
        <f t="shared" ref="AJ82" si="1517">(AB81*4.8075%*30/360)*3</f>
        <v>369396.577632375</v>
      </c>
      <c r="AK82" s="4">
        <f t="shared" ref="AK82" si="1518">((+D82+AJ82)-AB82)/D82</f>
        <v>0.18472065762192891</v>
      </c>
      <c r="AL82" s="4">
        <f t="shared" ref="AL82" si="1519">+S82/$D82</f>
        <v>0.90437560143308537</v>
      </c>
      <c r="AM82" s="4">
        <f t="shared" ref="AM82" si="1520">+T82/$D82</f>
        <v>3.7932294176281765E-2</v>
      </c>
      <c r="AN82" s="4">
        <f t="shared" ref="AN82" si="1521">+U82/$D82</f>
        <v>2.764083807564845E-2</v>
      </c>
      <c r="AO82" s="4">
        <f t="shared" ref="AO82" si="1522">+V82/$D82</f>
        <v>3.5801673065196308E-3</v>
      </c>
      <c r="AP82" s="4">
        <f t="shared" ref="AP82" si="1523">+W82/$D82</f>
        <v>1.3621498313025799E-3</v>
      </c>
      <c r="AQ82" s="4">
        <f t="shared" ref="AQ82" si="1524">+X82/$D82</f>
        <v>3.6807096418576442E-3</v>
      </c>
      <c r="AR82" s="4">
        <f t="shared" ref="AR82" si="1525">+Y82/$D82</f>
        <v>1.0147083041544506E-3</v>
      </c>
    </row>
    <row r="83" spans="1:44" x14ac:dyDescent="0.25">
      <c r="A83">
        <f t="shared" si="360"/>
        <v>79</v>
      </c>
      <c r="B83" s="3">
        <f t="shared" si="981"/>
        <v>45914</v>
      </c>
      <c r="C83" s="41">
        <v>1595</v>
      </c>
      <c r="D83" s="2">
        <v>36643487.229999997</v>
      </c>
      <c r="E83" s="32">
        <v>6.6600000000000006E-2</v>
      </c>
      <c r="F83" s="8">
        <f t="shared" ref="F83" si="1526">+D83/$D$4</f>
        <v>0.61072404055652707</v>
      </c>
      <c r="G83" s="2">
        <v>215661.9</v>
      </c>
      <c r="H83" s="8"/>
      <c r="I83" s="8"/>
      <c r="J83" s="8"/>
      <c r="K83" s="8"/>
      <c r="L83" s="8"/>
      <c r="M83" s="8"/>
      <c r="N83" s="6">
        <f t="shared" ref="N83" si="1527">G83/D82</f>
        <v>5.8335084932561627E-3</v>
      </c>
      <c r="O83" s="6">
        <f t="shared" ref="O83" si="1528">1-(+N83-1)^12</f>
        <v>6.7799238715769983E-2</v>
      </c>
      <c r="P83" s="20">
        <f t="shared" ref="P83" si="1529">AVERAGE(O81:O83)</f>
        <v>6.0539893091401363E-2</v>
      </c>
      <c r="Q83" s="20">
        <f t="shared" ref="Q83" si="1530">AVERAGE(O78:O83)</f>
        <v>4.9017510047247227E-2</v>
      </c>
      <c r="R83" s="17">
        <f t="shared" ref="R83" si="1531">AVERAGE(O72:O83)</f>
        <v>4.2818220240064465E-2</v>
      </c>
      <c r="S83" s="26">
        <v>32999078</v>
      </c>
      <c r="T83" s="26">
        <v>1740037</v>
      </c>
      <c r="U83" s="26">
        <v>835240</v>
      </c>
      <c r="V83" s="26">
        <v>148464</v>
      </c>
      <c r="W83" s="26">
        <v>27299</v>
      </c>
      <c r="X83" s="26">
        <v>108452</v>
      </c>
      <c r="Y83" s="26">
        <v>0</v>
      </c>
      <c r="Z83" s="26">
        <f t="shared" ref="Z83" si="1532">Z82+Y83</f>
        <v>2522096.2499999995</v>
      </c>
      <c r="AA83" s="4">
        <f t="shared" ref="AA83" si="1533">Z83/$D$4</f>
        <v>4.2034886112351719E-2</v>
      </c>
      <c r="AB83" s="2">
        <v>30151348.079999998</v>
      </c>
      <c r="AC83" s="8">
        <f t="shared" ref="AC83" si="1534">+AB83/$AB$4</f>
        <v>0.54622007391304339</v>
      </c>
      <c r="AD83" s="2">
        <f t="shared" ref="AD83" si="1535">AB83*$AD$2</f>
        <v>24579903.326086953</v>
      </c>
      <c r="AE83" s="2">
        <v>3600000</v>
      </c>
      <c r="AF83" s="8">
        <f t="shared" ref="AF83" si="1536">+AE83/$AE$4</f>
        <v>1</v>
      </c>
      <c r="AG83" s="2">
        <v>1200000</v>
      </c>
      <c r="AH83" s="8">
        <f t="shared" ref="AH83" si="1537">+AG83/$AG$4</f>
        <v>1</v>
      </c>
      <c r="AI83" s="8">
        <f t="shared" ref="AI83" si="1538">+AB83/D83</f>
        <v>0.82282965839875388</v>
      </c>
      <c r="AJ83" s="2">
        <f t="shared" ref="AJ83" si="1539">(AB82*4.8075%*30/360)*3</f>
        <v>366690.46773206251</v>
      </c>
      <c r="AK83" s="4">
        <f t="shared" ref="AK83" si="1540">((+D83+AJ83)-AB83)/D83</f>
        <v>0.18717731679524061</v>
      </c>
      <c r="AL83" s="4">
        <f t="shared" ref="AL83" si="1541">+S83/$D83</f>
        <v>0.90054414834687668</v>
      </c>
      <c r="AM83" s="4">
        <f t="shared" ref="AM83" si="1542">+T83/$D83</f>
        <v>4.748557333198989E-2</v>
      </c>
      <c r="AN83" s="4">
        <f t="shared" ref="AN83" si="1543">+U83/$D83</f>
        <v>2.2793682128489933E-2</v>
      </c>
      <c r="AO83" s="4">
        <f t="shared" ref="AO83" si="1544">+V83/$D83</f>
        <v>4.0515794544372027E-3</v>
      </c>
      <c r="AP83" s="4">
        <f t="shared" ref="AP83" si="1545">+W83/$D83</f>
        <v>7.4498913896083366E-4</v>
      </c>
      <c r="AQ83" s="4">
        <f t="shared" ref="AQ83" si="1546">+X83/$D83</f>
        <v>2.9596528114062908E-3</v>
      </c>
      <c r="AR83" s="4">
        <f t="shared" ref="AR83" si="1547">+Y83/$D83</f>
        <v>0</v>
      </c>
    </row>
    <row r="84" spans="1:44" x14ac:dyDescent="0.25">
      <c r="A84">
        <f t="shared" si="360"/>
        <v>80</v>
      </c>
      <c r="B84" s="3">
        <f t="shared" si="981"/>
        <v>45945</v>
      </c>
      <c r="C84" s="41">
        <v>1586</v>
      </c>
      <c r="D84" s="2">
        <v>36438747.149999999</v>
      </c>
      <c r="E84" s="32">
        <v>6.6600000000000006E-2</v>
      </c>
      <c r="F84" s="8">
        <f t="shared" ref="F84" si="1548">+D84/$D$4</f>
        <v>0.60731171006143436</v>
      </c>
      <c r="G84" s="2">
        <v>76838.86</v>
      </c>
      <c r="H84" s="8"/>
      <c r="I84" s="8"/>
      <c r="J84" s="8"/>
      <c r="K84" s="8"/>
      <c r="L84" s="8"/>
      <c r="M84" s="8"/>
      <c r="N84" s="6">
        <f t="shared" ref="N84" si="1549">G84/D83</f>
        <v>2.0969308820884295E-3</v>
      </c>
      <c r="O84" s="6">
        <f t="shared" ref="O84" si="1550">1-(+N84-1)^12</f>
        <v>2.4874979684311294E-2</v>
      </c>
      <c r="P84" s="20">
        <f t="shared" ref="P84" si="1551">AVERAGE(O82:O84)</f>
        <v>3.7809538013373313E-2</v>
      </c>
      <c r="Q84" s="20">
        <f t="shared" ref="Q84" si="1552">AVERAGE(O79:O84)</f>
        <v>4.9847629569094921E-2</v>
      </c>
      <c r="R84" s="17">
        <f t="shared" ref="R84" si="1553">AVERAGE(O73:O84)</f>
        <v>4.164461983108203E-2</v>
      </c>
      <c r="S84" s="26">
        <v>32825840</v>
      </c>
      <c r="T84" s="26">
        <v>1476509</v>
      </c>
      <c r="U84" s="26">
        <v>1169240</v>
      </c>
      <c r="V84" s="26">
        <v>14586</v>
      </c>
      <c r="W84" s="26">
        <v>80422</v>
      </c>
      <c r="X84" s="26">
        <v>45528</v>
      </c>
      <c r="Y84" s="26">
        <v>52661.61</v>
      </c>
      <c r="Z84" s="26">
        <f t="shared" ref="Z84" si="1554">Z83+Y84</f>
        <v>2574757.8599999994</v>
      </c>
      <c r="AA84" s="4">
        <f t="shared" ref="AA84" si="1555">Z84/$D$4</f>
        <v>4.2912578539372727E-2</v>
      </c>
      <c r="AB84" s="2">
        <v>29904658.780000001</v>
      </c>
      <c r="AC84" s="8">
        <f t="shared" ref="AC84" si="1556">+AB84/$AB$4</f>
        <v>0.54175106485507252</v>
      </c>
      <c r="AD84" s="2">
        <f t="shared" ref="AD84" si="1557">AB84*$AD$2</f>
        <v>24378797.918478262</v>
      </c>
      <c r="AE84" s="2">
        <v>3600000</v>
      </c>
      <c r="AF84" s="8">
        <f t="shared" ref="AF84" si="1558">+AE84/$AE$4</f>
        <v>1</v>
      </c>
      <c r="AG84" s="2">
        <v>1200000</v>
      </c>
      <c r="AH84" s="8">
        <f t="shared" ref="AH84" si="1559">+AG84/$AG$4</f>
        <v>1</v>
      </c>
      <c r="AI84" s="8">
        <f t="shared" ref="AI84" si="1560">+AB84/D84</f>
        <v>0.82068295753686482</v>
      </c>
      <c r="AJ84" s="2">
        <f t="shared" ref="AJ84" si="1561">(AB83*4.8075%*30/360)*3</f>
        <v>362381.51473650004</v>
      </c>
      <c r="AK84" s="4">
        <f t="shared" ref="AK84" si="1562">((+D84+AJ84)-AB84)/D84</f>
        <v>0.18926199236069238</v>
      </c>
      <c r="AL84" s="4">
        <f t="shared" ref="AL84" si="1563">+S84/$D84</f>
        <v>0.90084985262727402</v>
      </c>
      <c r="AM84" s="4">
        <f t="shared" ref="AM84" si="1564">+T84/$D84</f>
        <v>4.0520300929171769E-2</v>
      </c>
      <c r="AN84" s="4">
        <f t="shared" ref="AN84" si="1565">+U84/$D84</f>
        <v>3.208782110940387E-2</v>
      </c>
      <c r="AO84" s="4">
        <f t="shared" ref="AO84" si="1566">+V84/$D84</f>
        <v>4.0028818608819818E-4</v>
      </c>
      <c r="AP84" s="4">
        <f t="shared" ref="AP84" si="1567">+W84/$D84</f>
        <v>2.2070462430813843E-3</v>
      </c>
      <c r="AQ84" s="4">
        <f t="shared" ref="AQ84" si="1568">+X84/$D84</f>
        <v>1.2494392250256058E-3</v>
      </c>
      <c r="AR84" s="4">
        <f t="shared" ref="AR84" si="1569">+Y84/$D84</f>
        <v>1.4452091281629039E-3</v>
      </c>
    </row>
    <row r="85" spans="1:44" x14ac:dyDescent="0.25">
      <c r="A85">
        <f t="shared" si="360"/>
        <v>81</v>
      </c>
      <c r="B85" s="3">
        <f t="shared" si="981"/>
        <v>45976</v>
      </c>
      <c r="C85" s="41">
        <v>1581</v>
      </c>
      <c r="D85" s="2">
        <v>36237581.259999998</v>
      </c>
      <c r="E85" s="32">
        <v>6.6500000000000004E-2</v>
      </c>
      <c r="F85" s="8">
        <f t="shared" ref="F85" si="1570">+D85/$D$4</f>
        <v>0.60395894932685101</v>
      </c>
      <c r="G85" s="2">
        <v>64732.86</v>
      </c>
      <c r="H85" s="8"/>
      <c r="I85" s="8"/>
      <c r="J85" s="8"/>
      <c r="K85" s="8"/>
      <c r="L85" s="8"/>
      <c r="M85" s="8"/>
      <c r="N85" s="6">
        <f t="shared" ref="N85" si="1571">G85/D84</f>
        <v>1.7764842389758179E-3</v>
      </c>
      <c r="O85" s="6">
        <f t="shared" ref="O85" si="1572">1-(+N85-1)^12</f>
        <v>2.1110750207052997E-2</v>
      </c>
      <c r="P85" s="20">
        <f t="shared" ref="P85" si="1573">AVERAGE(O83:O85)</f>
        <v>3.792832286904476E-2</v>
      </c>
      <c r="Q85" s="20">
        <f t="shared" ref="Q85" si="1574">AVERAGE(O80:O85)</f>
        <v>4.5727617278073063E-2</v>
      </c>
      <c r="R85" s="17">
        <f t="shared" ref="R85" si="1575">AVERAGE(O74:O85)</f>
        <v>4.0494826622907737E-2</v>
      </c>
      <c r="S85" s="26">
        <v>32592904</v>
      </c>
      <c r="T85" s="26">
        <v>1339246</v>
      </c>
      <c r="U85" s="26">
        <v>1135222</v>
      </c>
      <c r="V85" s="26">
        <v>297700</v>
      </c>
      <c r="W85" s="26">
        <v>31982</v>
      </c>
      <c r="X85" s="26">
        <v>9884</v>
      </c>
      <c r="Y85" s="26">
        <v>0</v>
      </c>
      <c r="Z85" s="26">
        <f t="shared" ref="Z85" si="1576">Z84+Y85</f>
        <v>2574757.8599999994</v>
      </c>
      <c r="AA85" s="4">
        <f t="shared" ref="AA85" si="1577">Z85/$D$4</f>
        <v>4.2912578539372727E-2</v>
      </c>
      <c r="AB85" s="2">
        <v>29677318.93</v>
      </c>
      <c r="AC85" s="8">
        <f t="shared" ref="AC85" si="1578">+AB85/$AB$4</f>
        <v>0.53763258931159419</v>
      </c>
      <c r="AD85" s="2">
        <f t="shared" ref="AD85" si="1579">AB85*$AD$2</f>
        <v>24193466.519021738</v>
      </c>
      <c r="AE85" s="2">
        <v>3600000</v>
      </c>
      <c r="AF85" s="8">
        <f t="shared" ref="AF85" si="1580">+AE85/$AE$4</f>
        <v>1</v>
      </c>
      <c r="AG85" s="2">
        <v>1200000</v>
      </c>
      <c r="AH85" s="8">
        <f t="shared" ref="AH85" si="1581">+AG85/$AG$4</f>
        <v>1</v>
      </c>
      <c r="AI85" s="8">
        <f t="shared" ref="AI85" si="1582">+AB85/D85</f>
        <v>0.81896522610240019</v>
      </c>
      <c r="AJ85" s="2">
        <f t="shared" ref="AJ85" si="1583">(AB84*4.8075%*30/360)*3</f>
        <v>359416.61771212495</v>
      </c>
      <c r="AK85" s="4">
        <f t="shared" ref="AK85" si="1584">((+D85+AJ85)-AB85)/D85</f>
        <v>0.19095311295928705</v>
      </c>
      <c r="AL85" s="4">
        <f t="shared" ref="AL85" si="1585">+S85/$D85</f>
        <v>0.89942272267428924</v>
      </c>
      <c r="AM85" s="4">
        <f t="shared" ref="AM85" si="1586">+T85/$D85</f>
        <v>3.6957378319239405E-2</v>
      </c>
      <c r="AN85" s="4">
        <f t="shared" ref="AN85" si="1587">+U85/$D85</f>
        <v>3.1327201223915239E-2</v>
      </c>
      <c r="AO85" s="4">
        <f t="shared" ref="AO85" si="1588">+V85/$D85</f>
        <v>8.2152282147100464E-3</v>
      </c>
      <c r="AP85" s="4">
        <f t="shared" ref="AP85" si="1589">+W85/$D85</f>
        <v>8.8256442312010977E-4</v>
      </c>
      <c r="AQ85" s="4">
        <f t="shared" ref="AQ85" si="1590">+X85/$D85</f>
        <v>2.7275551116625495E-4</v>
      </c>
      <c r="AR85" s="4">
        <f t="shared" ref="AR85" si="1591">+Y85/$D85</f>
        <v>0</v>
      </c>
    </row>
    <row r="86" spans="1:44" x14ac:dyDescent="0.25">
      <c r="A86">
        <f t="shared" si="360"/>
        <v>82</v>
      </c>
      <c r="B86" s="3">
        <f t="shared" si="981"/>
        <v>46007</v>
      </c>
      <c r="C86" s="41">
        <v>1576</v>
      </c>
      <c r="D86" s="2">
        <v>35985215.079999998</v>
      </c>
      <c r="E86" s="32">
        <v>6.6500000000000004E-2</v>
      </c>
      <c r="F86" s="8">
        <f t="shared" ref="F86" si="1592">+D86/$D$4</f>
        <v>0.59975285146880575</v>
      </c>
      <c r="G86" s="2">
        <v>122862.69</v>
      </c>
      <c r="H86" s="8"/>
      <c r="I86" s="8"/>
      <c r="J86" s="8"/>
      <c r="K86" s="8"/>
      <c r="L86" s="8"/>
      <c r="M86" s="8"/>
      <c r="N86" s="6">
        <f t="shared" ref="N86" si="1593">G86/D85</f>
        <v>3.3904771159663214E-3</v>
      </c>
      <c r="O86" s="6">
        <f t="shared" ref="O86" si="1594">1-(+N86-1)^12</f>
        <v>3.9935542647017597E-2</v>
      </c>
      <c r="P86" s="20">
        <f t="shared" ref="P86" si="1595">AVERAGE(O84:O86)</f>
        <v>2.8640424179460628E-2</v>
      </c>
      <c r="Q86" s="20">
        <f t="shared" ref="Q86" si="1596">AVERAGE(O81:O86)</f>
        <v>4.4590158635430997E-2</v>
      </c>
      <c r="R86" s="17">
        <f t="shared" ref="R86" si="1597">AVERAGE(O75:O86)</f>
        <v>4.1693616202585375E-2</v>
      </c>
      <c r="S86" s="26">
        <v>32002276</v>
      </c>
      <c r="T86" s="26">
        <v>1505274</v>
      </c>
      <c r="U86" s="26">
        <v>1247347</v>
      </c>
      <c r="V86" s="26">
        <v>267577</v>
      </c>
      <c r="W86" s="26">
        <v>142976</v>
      </c>
      <c r="X86" s="26">
        <v>52870</v>
      </c>
      <c r="Y86" s="26">
        <v>0</v>
      </c>
      <c r="Z86" s="26">
        <f t="shared" ref="Z86" si="1598">Z85+Y86</f>
        <v>2574757.8599999994</v>
      </c>
      <c r="AA86" s="4">
        <f t="shared" ref="AA86" si="1599">Z86/$D$4</f>
        <v>4.2912578539372727E-2</v>
      </c>
      <c r="AB86" s="2">
        <v>29388861.77</v>
      </c>
      <c r="AC86" s="8">
        <f t="shared" ref="AC86" si="1600">+AB86/$AB$4</f>
        <v>0.53240691612318836</v>
      </c>
      <c r="AD86" s="2">
        <f t="shared" ref="AD86" si="1601">AB86*$AD$2</f>
        <v>23958311.225543477</v>
      </c>
      <c r="AE86" s="2">
        <v>3600000</v>
      </c>
      <c r="AF86" s="8">
        <f t="shared" ref="AF86" si="1602">+AE86/$AE$4</f>
        <v>1</v>
      </c>
      <c r="AG86" s="2">
        <v>1200000</v>
      </c>
      <c r="AH86" s="8">
        <f t="shared" ref="AH86" si="1603">+AG86/$AG$4</f>
        <v>1</v>
      </c>
      <c r="AI86" s="8">
        <f t="shared" ref="AI86" si="1604">+AB86/D86</f>
        <v>0.81669268072080681</v>
      </c>
      <c r="AJ86" s="2">
        <f t="shared" ref="AJ86" si="1605">(AB85*4.8075%*30/360)*3</f>
        <v>356684.27688993752</v>
      </c>
      <c r="AK86" s="4">
        <f t="shared" ref="AK86" si="1606">((+D86+AJ86)-AB86)/D86</f>
        <v>0.19321928662736601</v>
      </c>
      <c r="AL86" s="4">
        <f t="shared" ref="AL86" si="1607">+S86/$D86</f>
        <v>0.88931734682854091</v>
      </c>
      <c r="AM86" s="4">
        <f t="shared" ref="AM86" si="1608">+T86/$D86</f>
        <v>4.1830346064448201E-2</v>
      </c>
      <c r="AN86" s="4">
        <f t="shared" ref="AN86" si="1609">+U86/$D86</f>
        <v>3.4662763505150074E-2</v>
      </c>
      <c r="AO86" s="4">
        <f t="shared" ref="AO86" si="1610">+V86/$D86</f>
        <v>7.4357482484164721E-3</v>
      </c>
      <c r="AP86" s="4">
        <f t="shared" ref="AP86" si="1611">+W86/$D86</f>
        <v>3.9731873126823067E-3</v>
      </c>
      <c r="AQ86" s="4">
        <f t="shared" ref="AQ86" si="1612">+X86/$D86</f>
        <v>1.4692145060815349E-3</v>
      </c>
      <c r="AR86" s="4">
        <f t="shared" ref="AR86" si="1613">+Y86/$D86</f>
        <v>0</v>
      </c>
    </row>
    <row r="87" spans="1:44" x14ac:dyDescent="0.25">
      <c r="A87">
        <f t="shared" si="360"/>
        <v>83</v>
      </c>
      <c r="B87" s="3">
        <f t="shared" si="981"/>
        <v>46038</v>
      </c>
      <c r="C87" s="41">
        <v>1571</v>
      </c>
      <c r="D87" s="2">
        <v>35684622.259999998</v>
      </c>
      <c r="E87" s="32">
        <v>6.6500000000000004E-2</v>
      </c>
      <c r="F87" s="8">
        <f t="shared" ref="F87" si="1614">+D87/$D$4</f>
        <v>0.59474297726004355</v>
      </c>
      <c r="G87" s="2">
        <v>154823.4</v>
      </c>
      <c r="H87" s="8"/>
      <c r="I87" s="8"/>
      <c r="J87" s="8"/>
      <c r="K87" s="8"/>
      <c r="L87" s="8"/>
      <c r="M87" s="8"/>
      <c r="N87" s="6">
        <f t="shared" ref="N87" si="1615">G87/D86</f>
        <v>4.3024169691860013E-3</v>
      </c>
      <c r="O87" s="6">
        <f t="shared" ref="O87" si="1616">1-(+N87-1)^12</f>
        <v>5.0424643975075401E-2</v>
      </c>
      <c r="P87" s="20">
        <f t="shared" ref="P87" si="1617">AVERAGE(O85:O87)</f>
        <v>3.7156978943048667E-2</v>
      </c>
      <c r="Q87" s="20">
        <f t="shared" ref="Q87" si="1618">AVERAGE(O82:O87)</f>
        <v>3.748325847821099E-2</v>
      </c>
      <c r="R87" s="17">
        <f t="shared" ref="R87" si="1619">AVERAGE(O76:O87)</f>
        <v>4.1206692444569558E-2</v>
      </c>
      <c r="S87" s="26">
        <v>31928742</v>
      </c>
      <c r="T87" s="26">
        <v>1567793</v>
      </c>
      <c r="U87" s="26">
        <v>1129197</v>
      </c>
      <c r="V87" s="26">
        <v>130445</v>
      </c>
      <c r="W87" s="26">
        <v>90396</v>
      </c>
      <c r="X87" s="26">
        <v>111921</v>
      </c>
      <c r="Y87" s="26">
        <v>36822.550000000003</v>
      </c>
      <c r="Z87" s="26">
        <f t="shared" ref="Z87" si="1620">Z86+Y87</f>
        <v>2611580.4099999992</v>
      </c>
      <c r="AA87" s="4">
        <f t="shared" ref="AA87" si="1621">Z87/$D$4</f>
        <v>4.3526286955780848E-2</v>
      </c>
      <c r="AB87" s="2">
        <v>29034100.309999999</v>
      </c>
      <c r="AC87" s="8">
        <f t="shared" ref="AC87" si="1622">+AB87/$AB$4</f>
        <v>0.52598007807971014</v>
      </c>
      <c r="AD87" s="2">
        <f t="shared" ref="AD87" si="1623">AB87*$AD$2</f>
        <v>23669103.513586953</v>
      </c>
      <c r="AE87" s="2">
        <v>3600000</v>
      </c>
      <c r="AF87" s="8">
        <f t="shared" ref="AF87" si="1624">+AE87/$AE$4</f>
        <v>1</v>
      </c>
      <c r="AG87" s="2">
        <v>1200000</v>
      </c>
      <c r="AH87" s="8">
        <f t="shared" ref="AH87" si="1625">+AG87/$AG$4</f>
        <v>1</v>
      </c>
      <c r="AI87" s="8">
        <f t="shared" ref="AI87" si="1626">+AB87/D87</f>
        <v>0.81363059130782012</v>
      </c>
      <c r="AJ87" s="2">
        <f t="shared" ref="AJ87" si="1627">(AB86*4.8075%*30/360)*3</f>
        <v>353217.38239818747</v>
      </c>
      <c r="AK87" s="4">
        <f t="shared" ref="AK87" si="1628">((+D87+AJ87)-AB87)/D87</f>
        <v>0.19626771670353077</v>
      </c>
      <c r="AL87" s="4">
        <f t="shared" ref="AL87" si="1629">+S87/$D87</f>
        <v>0.8947479328032546</v>
      </c>
      <c r="AM87" s="4">
        <f t="shared" ref="AM87" si="1630">+T87/$D87</f>
        <v>4.3934695134979412E-2</v>
      </c>
      <c r="AN87" s="4">
        <f t="shared" ref="AN87" si="1631">+U87/$D87</f>
        <v>3.1643798602451569E-2</v>
      </c>
      <c r="AO87" s="4">
        <f t="shared" ref="AO87" si="1632">+V87/$D87</f>
        <v>3.6554961700188669E-3</v>
      </c>
      <c r="AP87" s="4">
        <f t="shared" ref="AP87" si="1633">+W87/$D87</f>
        <v>2.5331920103110546E-3</v>
      </c>
      <c r="AQ87" s="4">
        <f t="shared" ref="AQ87" si="1634">+X87/$D87</f>
        <v>3.1363930150230491E-3</v>
      </c>
      <c r="AR87" s="4">
        <f t="shared" ref="AR87" si="1635">+Y87/$D87</f>
        <v>1.0318884625346179E-3</v>
      </c>
    </row>
    <row r="88" spans="1:44" x14ac:dyDescent="0.25">
      <c r="A88">
        <f t="shared" si="360"/>
        <v>84</v>
      </c>
      <c r="B88" s="3">
        <f t="shared" si="981"/>
        <v>46069</v>
      </c>
      <c r="C88" s="41">
        <v>1561</v>
      </c>
      <c r="D88" s="2">
        <v>35436572.119999997</v>
      </c>
      <c r="E88" s="32">
        <v>6.6500000000000004E-2</v>
      </c>
      <c r="F88" s="8">
        <f t="shared" ref="F88" si="1636">+D88/$D$4</f>
        <v>0.59060881331405901</v>
      </c>
      <c r="G88" s="2">
        <v>108630.07</v>
      </c>
      <c r="H88" s="8"/>
      <c r="I88" s="8"/>
      <c r="J88" s="8"/>
      <c r="K88" s="8"/>
      <c r="L88" s="8"/>
      <c r="M88" s="8"/>
      <c r="N88" s="6">
        <f t="shared" ref="N88" si="1637">G88/D87</f>
        <v>3.0441703770468891E-3</v>
      </c>
      <c r="O88" s="6">
        <f t="shared" ref="O88" si="1638">1-(+N88-1)^12</f>
        <v>3.5924588239109601E-2</v>
      </c>
      <c r="P88" s="20">
        <f t="shared" ref="P88" si="1639">AVERAGE(O86:O88)</f>
        <v>4.2094924953734202E-2</v>
      </c>
      <c r="Q88" s="20">
        <f t="shared" ref="Q88" si="1640">AVERAGE(O83:O88)</f>
        <v>4.0011623911389481E-2</v>
      </c>
      <c r="R88" s="17">
        <f t="shared" ref="R88" si="1641">AVERAGE(O77:O88)</f>
        <v>4.2162333922252333E-2</v>
      </c>
      <c r="S88" s="26">
        <v>31351028</v>
      </c>
      <c r="T88" s="26">
        <v>1915017</v>
      </c>
      <c r="U88" s="26">
        <v>997014</v>
      </c>
      <c r="V88" s="26">
        <v>243298</v>
      </c>
      <c r="W88" s="26">
        <v>79866</v>
      </c>
      <c r="X88" s="26">
        <v>90145</v>
      </c>
      <c r="Y88" s="26">
        <v>37219.07</v>
      </c>
      <c r="Z88" s="26">
        <f t="shared" ref="Z88" si="1642">Z87+Y88</f>
        <v>2648799.4799999991</v>
      </c>
      <c r="AA88" s="4">
        <f t="shared" ref="AA88" si="1643">Z88/$D$4</f>
        <v>4.4146604030776554E-2</v>
      </c>
      <c r="AB88" s="2">
        <v>28723660.699999999</v>
      </c>
      <c r="AC88" s="8">
        <f t="shared" ref="AC88" si="1644">+AB88/$AB$4</f>
        <v>0.52035617210144924</v>
      </c>
      <c r="AD88" s="2">
        <f t="shared" ref="AD88" si="1645">AB88*$AD$2</f>
        <v>23416027.744565215</v>
      </c>
      <c r="AE88" s="2">
        <v>3600000</v>
      </c>
      <c r="AF88" s="8">
        <f t="shared" ref="AF88" si="1646">+AE88/$AE$4</f>
        <v>1</v>
      </c>
      <c r="AG88" s="2">
        <v>1200000</v>
      </c>
      <c r="AH88" s="8">
        <f t="shared" ref="AH88" si="1647">+AG88/$AG$4</f>
        <v>1</v>
      </c>
      <c r="AI88" s="8">
        <f t="shared" ref="AI88" si="1648">+AB88/D88</f>
        <v>0.81056544077491888</v>
      </c>
      <c r="AJ88" s="2">
        <f t="shared" ref="AJ88" si="1649">(AB87*4.8075%*30/360)*3</f>
        <v>348953.59310081246</v>
      </c>
      <c r="AK88" s="4">
        <f t="shared" ref="AK88" si="1650">((+D88+AJ88)-AB88)/D88</f>
        <v>0.19928183203462782</v>
      </c>
      <c r="AL88" s="4">
        <f t="shared" ref="AL88" si="1651">+S88/$D88</f>
        <v>0.88470825828849953</v>
      </c>
      <c r="AM88" s="4">
        <f t="shared" ref="AM88" si="1652">+T88/$D88</f>
        <v>5.4040695401211966E-2</v>
      </c>
      <c r="AN88" s="4">
        <f t="shared" ref="AN88" si="1653">+U88/$D88</f>
        <v>2.8135170541433285E-2</v>
      </c>
      <c r="AO88" s="4">
        <f t="shared" ref="AO88" si="1654">+V88/$D88</f>
        <v>6.8657317975370814E-3</v>
      </c>
      <c r="AP88" s="4">
        <f t="shared" ref="AP88" si="1655">+W88/$D88</f>
        <v>2.253773297528531E-3</v>
      </c>
      <c r="AQ88" s="4">
        <f t="shared" ref="AQ88" si="1656">+X88/$D88</f>
        <v>2.5438408572572738E-3</v>
      </c>
      <c r="AR88" s="4">
        <f t="shared" ref="AR88" si="1657">+Y88/$D88</f>
        <v>1.0503010808710243E-3</v>
      </c>
    </row>
    <row r="89" spans="1:44" x14ac:dyDescent="0.25">
      <c r="A89">
        <f t="shared" si="360"/>
        <v>85</v>
      </c>
      <c r="B89" s="3">
        <f t="shared" si="981"/>
        <v>46100</v>
      </c>
      <c r="C89" s="41">
        <v>1556</v>
      </c>
      <c r="D89" s="2">
        <v>35215074.810000002</v>
      </c>
      <c r="E89" s="32">
        <v>6.6500000000000004E-2</v>
      </c>
      <c r="F89" s="8">
        <f t="shared" ref="F89" si="1658">+D89/$D$4</f>
        <v>0.58691719599372794</v>
      </c>
      <c r="G89" s="2">
        <v>92495.26</v>
      </c>
      <c r="H89" s="8"/>
      <c r="I89" s="8"/>
      <c r="J89" s="8"/>
      <c r="K89" s="8"/>
      <c r="L89" s="8"/>
      <c r="M89" s="8"/>
      <c r="N89" s="6">
        <f t="shared" ref="N89" si="1659">G89/D88</f>
        <v>2.6101638636711346E-3</v>
      </c>
      <c r="O89" s="6">
        <f t="shared" ref="O89" si="1660">1-(+N89-1)^12</f>
        <v>3.0876200672129372E-2</v>
      </c>
      <c r="P89" s="20">
        <f t="shared" ref="P89" si="1661">AVERAGE(O87:O89)</f>
        <v>3.9075144295438125E-2</v>
      </c>
      <c r="Q89" s="20">
        <f t="shared" ref="Q89" si="1662">AVERAGE(O84:O89)</f>
        <v>3.3857784237449375E-2</v>
      </c>
      <c r="R89" s="17">
        <f t="shared" ref="R89" si="1663">AVERAGE(O78:O89)</f>
        <v>4.1437647142348301E-2</v>
      </c>
      <c r="S89" s="26">
        <v>31079112</v>
      </c>
      <c r="T89" s="26">
        <v>1805714</v>
      </c>
      <c r="U89" s="26">
        <v>1072645</v>
      </c>
      <c r="V89" s="26">
        <v>242901</v>
      </c>
      <c r="W89" s="26">
        <v>188871</v>
      </c>
      <c r="X89" s="26">
        <v>34692</v>
      </c>
      <c r="Y89" s="26">
        <v>24794.93</v>
      </c>
      <c r="Z89" s="26">
        <f t="shared" ref="Z89" si="1664">Z88+Y89</f>
        <v>2673594.4099999992</v>
      </c>
      <c r="AA89" s="4">
        <f t="shared" ref="AA89" si="1665">Z89/$D$4</f>
        <v>4.4559852358913812E-2</v>
      </c>
      <c r="AB89" s="2">
        <v>28466176.120000001</v>
      </c>
      <c r="AC89" s="8">
        <f t="shared" ref="AC89" si="1666">+AB89/$AB$4</f>
        <v>0.51569159637681161</v>
      </c>
      <c r="AD89" s="2">
        <f t="shared" ref="AD89" si="1667">AB89*$AD$2</f>
        <v>23206121.83695652</v>
      </c>
      <c r="AE89" s="2">
        <v>3600000</v>
      </c>
      <c r="AF89" s="8">
        <f t="shared" ref="AF89" si="1668">+AE89/$AE$4</f>
        <v>1</v>
      </c>
      <c r="AG89" s="2">
        <v>1200000</v>
      </c>
      <c r="AH89" s="8">
        <f t="shared" ref="AH89" si="1669">+AG89/$AG$4</f>
        <v>1</v>
      </c>
      <c r="AI89" s="8">
        <f t="shared" ref="AI89" si="1670">+AB89/D89</f>
        <v>0.80835199906820809</v>
      </c>
      <c r="AJ89" s="2">
        <f t="shared" ref="AJ89" si="1671">(AB88*4.8075%*30/360)*3</f>
        <v>345222.497038125</v>
      </c>
      <c r="AK89" s="4">
        <f t="shared" ref="AK89" si="1672">((+D89+AJ89)-AB89)/D89</f>
        <v>0.20145125987418361</v>
      </c>
      <c r="AL89" s="4">
        <f t="shared" ref="AL89" si="1673">+S89/$D89</f>
        <v>0.88255135528420015</v>
      </c>
      <c r="AM89" s="4">
        <f t="shared" ref="AM89" si="1674">+T89/$D89</f>
        <v>5.1276733323514977E-2</v>
      </c>
      <c r="AN89" s="4">
        <f t="shared" ref="AN89" si="1675">+U89/$D89</f>
        <v>3.0459824543533319E-2</v>
      </c>
      <c r="AO89" s="4">
        <f t="shared" ref="AO89" si="1676">+V89/$D89</f>
        <v>6.8976425951258677E-3</v>
      </c>
      <c r="AP89" s="4">
        <f t="shared" ref="AP89" si="1677">+W89/$D89</f>
        <v>5.3633564892034934E-3</v>
      </c>
      <c r="AQ89" s="4">
        <f t="shared" ref="AQ89" si="1678">+X89/$D89</f>
        <v>9.8514628144843628E-4</v>
      </c>
      <c r="AR89" s="4">
        <f t="shared" ref="AR89" si="1679">+Y89/$D89</f>
        <v>7.0409988147913862E-4</v>
      </c>
    </row>
    <row r="90" spans="1:44" x14ac:dyDescent="0.25">
      <c r="A90">
        <f t="shared" si="360"/>
        <v>86</v>
      </c>
      <c r="B90" s="3">
        <f t="shared" si="981"/>
        <v>46131</v>
      </c>
      <c r="C90" s="41">
        <v>1548</v>
      </c>
      <c r="D90" s="2">
        <v>34926874.890000001</v>
      </c>
      <c r="E90" s="32">
        <v>6.6500000000000004E-2</v>
      </c>
      <c r="F90" s="8">
        <f t="shared" ref="F90" si="1680">+D90/$D$4</f>
        <v>0.58211386986579405</v>
      </c>
      <c r="G90" s="2">
        <v>135629.57999999999</v>
      </c>
      <c r="H90" s="8"/>
      <c r="I90" s="8"/>
      <c r="J90" s="8"/>
      <c r="K90" s="8"/>
      <c r="L90" s="8"/>
      <c r="M90" s="8"/>
      <c r="N90" s="6">
        <f t="shared" ref="N90" si="1681">G90/D89</f>
        <v>3.8514636340197506E-3</v>
      </c>
      <c r="O90" s="6">
        <f t="shared" ref="O90" si="1682">1-(+N90-1)^12</f>
        <v>4.5250995377501546E-2</v>
      </c>
      <c r="P90" s="20">
        <f t="shared" ref="P90" si="1683">AVERAGE(O88:O90)</f>
        <v>3.7350594762913504E-2</v>
      </c>
      <c r="Q90" s="20">
        <f t="shared" ref="Q90" si="1684">AVERAGE(O85:O90)</f>
        <v>3.7253786852981086E-2</v>
      </c>
      <c r="R90" s="17">
        <f t="shared" ref="R90" si="1685">AVERAGE(O79:O90)</f>
        <v>4.3550708211038007E-2</v>
      </c>
      <c r="S90" s="26">
        <v>30957043</v>
      </c>
      <c r="T90" s="26">
        <v>1720108</v>
      </c>
      <c r="U90" s="26">
        <v>1020106</v>
      </c>
      <c r="V90" s="26">
        <v>241069</v>
      </c>
      <c r="W90" s="26">
        <v>125079</v>
      </c>
      <c r="X90" s="26">
        <v>71722</v>
      </c>
      <c r="Y90" s="26">
        <v>0</v>
      </c>
      <c r="Z90" s="26">
        <f t="shared" ref="Z90" si="1686">Z89+Y90</f>
        <v>2673594.4099999992</v>
      </c>
      <c r="AA90" s="4">
        <f t="shared" ref="AA90" si="1687">Z90/$D$4</f>
        <v>4.4559852358913812E-2</v>
      </c>
      <c r="AB90" s="2">
        <v>28132717.68</v>
      </c>
      <c r="AC90" s="8">
        <f t="shared" ref="AC90" si="1688">+AB90/$AB$4</f>
        <v>0.50965068260869562</v>
      </c>
      <c r="AD90" s="2">
        <f t="shared" ref="AD90" si="1689">AB90*$AD$2</f>
        <v>22934280.717391305</v>
      </c>
      <c r="AE90" s="2">
        <v>3600000</v>
      </c>
      <c r="AF90" s="8">
        <f t="shared" ref="AF90" si="1690">+AE90/$AE$4</f>
        <v>1</v>
      </c>
      <c r="AG90" s="2">
        <v>1200000</v>
      </c>
      <c r="AH90" s="8">
        <f t="shared" ref="AH90" si="1691">+AG90/$AG$4</f>
        <v>1</v>
      </c>
      <c r="AI90" s="8">
        <f t="shared" ref="AI90" si="1692">+AB90/D90</f>
        <v>0.80547480324541565</v>
      </c>
      <c r="AJ90" s="2">
        <f t="shared" ref="AJ90" si="1693">(AB89*4.8075%*30/360)*3</f>
        <v>342127.85424225003</v>
      </c>
      <c r="AK90" s="4">
        <f t="shared" ref="AK90" si="1694">((+D90+AJ90)-AB90)/D90</f>
        <v>0.20432074403213951</v>
      </c>
      <c r="AL90" s="4">
        <f t="shared" ref="AL90" si="1695">+S90/$D90</f>
        <v>0.88633876055322047</v>
      </c>
      <c r="AM90" s="4">
        <f t="shared" ref="AM90" si="1696">+T90/$D90</f>
        <v>4.9248837905405858E-2</v>
      </c>
      <c r="AN90" s="4">
        <f t="shared" ref="AN90" si="1697">+U90/$D90</f>
        <v>2.9206907380427242E-2</v>
      </c>
      <c r="AO90" s="4">
        <f t="shared" ref="AO90" si="1698">+V90/$D90</f>
        <v>6.9021062078766472E-3</v>
      </c>
      <c r="AP90" s="4">
        <f t="shared" ref="AP90" si="1699">+W90/$D90</f>
        <v>3.5811678082831189E-3</v>
      </c>
      <c r="AQ90" s="4">
        <f t="shared" ref="AQ90" si="1700">+X90/$D90</f>
        <v>2.0534903344740672E-3</v>
      </c>
      <c r="AR90" s="4">
        <f t="shared" ref="AR90" si="1701">+Y90/$D90</f>
        <v>0</v>
      </c>
    </row>
    <row r="91" spans="1:44" x14ac:dyDescent="0.25">
      <c r="A91">
        <f t="shared" si="360"/>
        <v>87</v>
      </c>
      <c r="B91" s="3">
        <f t="shared" si="981"/>
        <v>46162</v>
      </c>
      <c r="C91" s="41">
        <v>1539</v>
      </c>
      <c r="D91" s="2">
        <v>34728918.710000001</v>
      </c>
      <c r="E91" s="32">
        <v>6.6500000000000004E-2</v>
      </c>
      <c r="F91" s="8">
        <f t="shared" ref="F91" si="1702">+D91/$D$4</f>
        <v>0.57881460423247966</v>
      </c>
      <c r="G91" s="2">
        <v>60262.36</v>
      </c>
      <c r="H91" s="8"/>
      <c r="I91" s="8"/>
      <c r="J91" s="8"/>
      <c r="K91" s="8"/>
      <c r="L91" s="8"/>
      <c r="M91" s="8"/>
      <c r="N91" s="6">
        <f t="shared" ref="N91" si="1703">G91/D90</f>
        <v>1.7253865451687996E-3</v>
      </c>
      <c r="O91" s="6">
        <f t="shared" ref="O91" si="1704">1-(+N91-1)^12</f>
        <v>2.0509284900084301E-2</v>
      </c>
      <c r="P91" s="20">
        <f t="shared" ref="P91" si="1705">AVERAGE(O89:O91)</f>
        <v>3.2212160316571738E-2</v>
      </c>
      <c r="Q91" s="20">
        <f t="shared" ref="Q91" si="1706">AVERAGE(O86:O91)</f>
        <v>3.715354263515297E-2</v>
      </c>
      <c r="R91" s="17">
        <f t="shared" ref="R91" si="1707">AVERAGE(O80:O91)</f>
        <v>4.1440579956613016E-2</v>
      </c>
      <c r="S91" s="26">
        <v>30640514</v>
      </c>
      <c r="T91" s="26">
        <v>1733406</v>
      </c>
      <c r="U91" s="26">
        <v>1082804</v>
      </c>
      <c r="V91" s="26">
        <v>360236</v>
      </c>
      <c r="W91" s="26">
        <v>72606</v>
      </c>
      <c r="X91" s="26">
        <v>47719</v>
      </c>
      <c r="Y91" s="26">
        <v>52.91</v>
      </c>
      <c r="Z91" s="26">
        <f t="shared" ref="Z91" si="1708">Z90+Y91</f>
        <v>2673647.3199999994</v>
      </c>
      <c r="AA91" s="4">
        <f t="shared" ref="AA91" si="1709">Z91/$D$4</f>
        <v>4.4560734191169106E-2</v>
      </c>
      <c r="AB91" s="2">
        <v>27844863.940000001</v>
      </c>
      <c r="AC91" s="8">
        <f t="shared" ref="AC91" si="1710">+AB91/$AB$4</f>
        <v>0.50443594094202904</v>
      </c>
      <c r="AD91" s="2">
        <f t="shared" ref="AD91" si="1711">AB91*$AD$2</f>
        <v>22699617.342391305</v>
      </c>
      <c r="AE91" s="2">
        <v>3600000</v>
      </c>
      <c r="AF91" s="8">
        <f t="shared" ref="AF91" si="1712">+AE91/$AE$4</f>
        <v>1</v>
      </c>
      <c r="AG91" s="2">
        <v>1200000</v>
      </c>
      <c r="AH91" s="8">
        <f t="shared" ref="AH91" si="1713">+AG91/$AG$4</f>
        <v>1</v>
      </c>
      <c r="AI91" s="8">
        <f t="shared" ref="AI91" si="1714">+AB91/D91</f>
        <v>0.80177745159633274</v>
      </c>
      <c r="AJ91" s="2">
        <f t="shared" ref="AJ91" si="1715">(AB90*4.8075%*30/360)*3</f>
        <v>338120.10061650001</v>
      </c>
      <c r="AK91" s="4">
        <f t="shared" ref="AK91" si="1716">((+D91+AJ91)-AB91)/D91</f>
        <v>0.20795852963129871</v>
      </c>
      <c r="AL91" s="4">
        <f t="shared" ref="AL91" si="1717">+S91/$D91</f>
        <v>0.88227664834198349</v>
      </c>
      <c r="AM91" s="4">
        <f t="shared" ref="AM91" si="1718">+T91/$D91</f>
        <v>4.9912466739163844E-2</v>
      </c>
      <c r="AN91" s="4">
        <f t="shared" ref="AN91" si="1719">+U91/$D91</f>
        <v>3.1178742103715788E-2</v>
      </c>
      <c r="AO91" s="4">
        <f t="shared" ref="AO91" si="1720">+V91/$D91</f>
        <v>1.0372796314452256E-2</v>
      </c>
      <c r="AP91" s="4">
        <f t="shared" ref="AP91" si="1721">+W91/$D91</f>
        <v>2.0906495997266251E-3</v>
      </c>
      <c r="AQ91" s="4">
        <f t="shared" ref="AQ91" si="1722">+X91/$D91</f>
        <v>1.3740422038034711E-3</v>
      </c>
      <c r="AR91" s="4">
        <f t="shared" ref="AR91" si="1723">+Y91/$D91</f>
        <v>1.5235141768109484E-6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R91"/>
  <sheetViews>
    <sheetView showGridLines="0" workbookViewId="0">
      <pane xSplit="2" ySplit="3" topLeftCell="AC82" activePane="bottomRight" state="frozen"/>
      <selection pane="topRight" activeCell="C1" sqref="C1"/>
      <selection pane="bottomLeft" activeCell="A2" sqref="A2"/>
      <selection pane="bottomRight" activeCell="AS91" sqref="AS91"/>
    </sheetView>
  </sheetViews>
  <sheetFormatPr baseColWidth="10" defaultColWidth="9.140625" defaultRowHeight="15" x14ac:dyDescent="0.25"/>
  <cols>
    <col min="4" max="4" width="14.28515625" bestFit="1" customWidth="1"/>
    <col min="7" max="7" width="13" customWidth="1"/>
    <col min="8" max="8" width="15.28515625" hidden="1" customWidth="1"/>
    <col min="9" max="9" width="15" hidden="1" customWidth="1"/>
    <col min="10" max="10" width="13" hidden="1" customWidth="1"/>
    <col min="11" max="11" width="13.5703125" hidden="1" customWidth="1"/>
    <col min="12" max="12" width="12.140625" hidden="1" customWidth="1"/>
    <col min="13" max="13" width="15.85546875" hidden="1" customWidth="1"/>
    <col min="15" max="15" width="9.85546875" customWidth="1"/>
    <col min="16" max="18" width="10.85546875" bestFit="1" customWidth="1"/>
    <col min="19" max="19" width="14.28515625" bestFit="1" customWidth="1"/>
    <col min="20" max="23" width="11.5703125" bestFit="1" customWidth="1"/>
    <col min="24" max="25" width="10.5703125" bestFit="1" customWidth="1"/>
    <col min="28" max="28" width="14.28515625" bestFit="1" customWidth="1"/>
    <col min="30" max="30" width="17.28515625" customWidth="1"/>
    <col min="31" max="31" width="13.28515625" bestFit="1" customWidth="1"/>
    <col min="33" max="33" width="13.28515625" bestFit="1" customWidth="1"/>
    <col min="36" max="36" width="14.85546875" bestFit="1" customWidth="1"/>
  </cols>
  <sheetData>
    <row r="1" spans="1:44" x14ac:dyDescent="0.25">
      <c r="G1" s="35" t="s">
        <v>50</v>
      </c>
      <c r="H1" s="35" t="s">
        <v>52</v>
      </c>
      <c r="I1" s="35" t="s">
        <v>52</v>
      </c>
      <c r="J1" s="35" t="s">
        <v>46</v>
      </c>
      <c r="K1" s="35" t="s">
        <v>46</v>
      </c>
      <c r="M1" s="35" t="s">
        <v>20</v>
      </c>
      <c r="P1" s="10"/>
      <c r="Q1" s="10"/>
      <c r="R1" s="10"/>
    </row>
    <row r="2" spans="1:44" x14ac:dyDescent="0.25">
      <c r="A2" s="29"/>
      <c r="B2" s="24" t="s">
        <v>32</v>
      </c>
      <c r="C2" s="29"/>
      <c r="D2" s="29"/>
      <c r="E2" s="29"/>
      <c r="F2" s="29"/>
      <c r="G2" s="24" t="s">
        <v>51</v>
      </c>
      <c r="H2" s="24" t="s">
        <v>53</v>
      </c>
      <c r="I2" s="24" t="s">
        <v>55</v>
      </c>
      <c r="J2" s="24" t="s">
        <v>57</v>
      </c>
      <c r="K2" s="24" t="s">
        <v>35</v>
      </c>
      <c r="L2" s="24" t="s">
        <v>38</v>
      </c>
      <c r="M2" s="35" t="s">
        <v>59</v>
      </c>
      <c r="N2" s="29"/>
      <c r="O2" s="29"/>
      <c r="P2" s="24" t="s">
        <v>43</v>
      </c>
      <c r="Q2" s="24" t="s">
        <v>47</v>
      </c>
      <c r="R2" s="24" t="s">
        <v>48</v>
      </c>
      <c r="Z2" s="24" t="s">
        <v>40</v>
      </c>
      <c r="AD2">
        <f>30/35.2</f>
        <v>0.85227272727272718</v>
      </c>
    </row>
    <row r="3" spans="1:44" s="29" customFormat="1" ht="12.75" x14ac:dyDescent="0.2">
      <c r="A3" s="28" t="s">
        <v>17</v>
      </c>
      <c r="B3" s="28" t="s">
        <v>33</v>
      </c>
      <c r="C3" s="28" t="s">
        <v>0</v>
      </c>
      <c r="D3" s="28" t="s">
        <v>18</v>
      </c>
      <c r="E3" s="28" t="s">
        <v>26</v>
      </c>
      <c r="F3" s="28" t="s">
        <v>6</v>
      </c>
      <c r="G3" s="28" t="s">
        <v>36</v>
      </c>
      <c r="H3" s="28" t="s">
        <v>54</v>
      </c>
      <c r="I3" s="28" t="s">
        <v>56</v>
      </c>
      <c r="J3" s="28" t="s">
        <v>58</v>
      </c>
      <c r="K3" s="28" t="s">
        <v>37</v>
      </c>
      <c r="L3" s="28" t="s">
        <v>39</v>
      </c>
      <c r="M3" s="30" t="s">
        <v>35</v>
      </c>
      <c r="N3" s="28" t="s">
        <v>60</v>
      </c>
      <c r="O3" s="28" t="s">
        <v>61</v>
      </c>
      <c r="P3" s="28" t="s">
        <v>44</v>
      </c>
      <c r="Q3" s="28" t="s">
        <v>44</v>
      </c>
      <c r="R3" s="28" t="s">
        <v>44</v>
      </c>
      <c r="S3" s="28" t="s">
        <v>9</v>
      </c>
      <c r="T3" s="28" t="s">
        <v>10</v>
      </c>
      <c r="U3" s="28" t="s">
        <v>11</v>
      </c>
      <c r="V3" s="28" t="s">
        <v>12</v>
      </c>
      <c r="W3" s="28" t="s">
        <v>13</v>
      </c>
      <c r="X3" s="28" t="s">
        <v>14</v>
      </c>
      <c r="Y3" s="24" t="s">
        <v>15</v>
      </c>
      <c r="Z3" s="28" t="s">
        <v>41</v>
      </c>
      <c r="AA3" s="28" t="s">
        <v>16</v>
      </c>
      <c r="AB3" s="28" t="s">
        <v>1</v>
      </c>
      <c r="AC3" s="28" t="s">
        <v>3</v>
      </c>
      <c r="AD3" s="28" t="s">
        <v>64</v>
      </c>
      <c r="AE3" s="28" t="s">
        <v>2</v>
      </c>
      <c r="AF3" s="28" t="s">
        <v>4</v>
      </c>
      <c r="AG3" s="28" t="s">
        <v>27</v>
      </c>
      <c r="AH3" s="28" t="s">
        <v>28</v>
      </c>
      <c r="AI3" s="28" t="s">
        <v>5</v>
      </c>
      <c r="AJ3" s="28" t="s">
        <v>65</v>
      </c>
      <c r="AK3" s="28" t="s">
        <v>22</v>
      </c>
      <c r="AL3" s="28" t="s">
        <v>9</v>
      </c>
      <c r="AM3" s="28" t="s">
        <v>10</v>
      </c>
      <c r="AN3" s="28" t="s">
        <v>11</v>
      </c>
      <c r="AO3" s="28" t="s">
        <v>12</v>
      </c>
      <c r="AP3" s="28" t="s">
        <v>13</v>
      </c>
      <c r="AQ3" s="28" t="s">
        <v>14</v>
      </c>
      <c r="AR3" s="28" t="s">
        <v>19</v>
      </c>
    </row>
    <row r="4" spans="1:44" x14ac:dyDescent="0.25">
      <c r="A4">
        <v>0</v>
      </c>
      <c r="B4" s="3">
        <v>43510</v>
      </c>
      <c r="C4">
        <v>840</v>
      </c>
      <c r="D4" s="2">
        <v>40000005.439999998</v>
      </c>
      <c r="E4" s="32">
        <v>7.5600000000000001E-2</v>
      </c>
      <c r="F4" s="8">
        <f t="shared" ref="F4:F9" si="0">+D4/D$4</f>
        <v>1</v>
      </c>
      <c r="G4" s="8"/>
      <c r="H4" s="8"/>
      <c r="I4" s="8"/>
      <c r="J4" s="8"/>
      <c r="K4" s="8"/>
      <c r="L4" s="8"/>
      <c r="M4" s="8"/>
      <c r="N4" s="8"/>
      <c r="O4" s="8"/>
      <c r="AB4" s="2">
        <v>35200000</v>
      </c>
      <c r="AC4" s="8">
        <f t="shared" ref="AC4:AC9" si="1">+AB4/$AB$4</f>
        <v>1</v>
      </c>
      <c r="AD4" s="2">
        <f t="shared" ref="AD4:AD9" si="2">AB4*$AD$2</f>
        <v>29999999.999999996</v>
      </c>
      <c r="AE4" s="2">
        <v>4000000</v>
      </c>
      <c r="AF4" s="8">
        <f t="shared" ref="AF4" si="3">+AE4/$AE$4</f>
        <v>1</v>
      </c>
      <c r="AG4" s="2">
        <v>800000</v>
      </c>
      <c r="AH4" s="8">
        <f t="shared" ref="AH4" si="4">+AG4/$AG$4</f>
        <v>1</v>
      </c>
      <c r="AI4" s="8">
        <f t="shared" ref="AI4:AI9" si="5">+AB4/D4</f>
        <v>0.8799998803200163</v>
      </c>
      <c r="AJ4" s="2">
        <v>479600</v>
      </c>
      <c r="AK4" s="4">
        <f t="shared" ref="AK4:AK9" si="6">((+D4+AJ4)-AB4)/D4</f>
        <v>0.13199011804934388</v>
      </c>
      <c r="AL4" s="4"/>
      <c r="AM4" s="4"/>
      <c r="AN4" s="4"/>
      <c r="AO4" s="4"/>
      <c r="AP4" s="4"/>
      <c r="AQ4" s="4"/>
      <c r="AR4" s="4"/>
    </row>
    <row r="5" spans="1:44" x14ac:dyDescent="0.25">
      <c r="A5">
        <v>1</v>
      </c>
      <c r="B5" s="3">
        <v>43538</v>
      </c>
      <c r="C5">
        <v>835</v>
      </c>
      <c r="D5" s="2">
        <v>39574474.420000002</v>
      </c>
      <c r="E5" s="32">
        <v>7.5600000000000001E-2</v>
      </c>
      <c r="F5" s="8">
        <f t="shared" si="0"/>
        <v>0.98936172594680538</v>
      </c>
      <c r="G5" s="2">
        <v>98039.53</v>
      </c>
      <c r="H5" s="8"/>
      <c r="I5" s="8"/>
      <c r="J5" s="8"/>
      <c r="K5" s="8"/>
      <c r="L5" s="8"/>
      <c r="M5" s="8"/>
      <c r="N5" s="6">
        <f t="shared" ref="N5:N10" si="7">G5/D4</f>
        <v>2.4509879166656435E-3</v>
      </c>
      <c r="O5" s="6">
        <f t="shared" ref="O5" si="8">1-(+N5-1)^12</f>
        <v>2.9018591912399194E-2</v>
      </c>
      <c r="P5" s="40" t="s">
        <v>63</v>
      </c>
      <c r="Q5" s="40" t="s">
        <v>63</v>
      </c>
      <c r="R5" s="40" t="s">
        <v>63</v>
      </c>
      <c r="S5" s="26">
        <v>39424621.009999998</v>
      </c>
      <c r="T5" s="26">
        <v>92699.74</v>
      </c>
      <c r="U5" s="26">
        <v>57153.67</v>
      </c>
      <c r="V5" s="26">
        <v>0</v>
      </c>
      <c r="W5" s="26">
        <v>0</v>
      </c>
      <c r="X5" s="26">
        <v>0</v>
      </c>
      <c r="Y5" s="26">
        <v>0</v>
      </c>
      <c r="Z5" s="26">
        <f t="shared" ref="Z5:Z10" si="9">Y4+Y5</f>
        <v>0</v>
      </c>
      <c r="AA5" s="4">
        <f t="shared" ref="AA5:AA10" si="10">Z5/$D$4</f>
        <v>0</v>
      </c>
      <c r="AB5" s="2">
        <v>34862524.490000002</v>
      </c>
      <c r="AC5" s="8">
        <f t="shared" si="1"/>
        <v>0.99041262755681825</v>
      </c>
      <c r="AD5" s="2">
        <f t="shared" si="2"/>
        <v>29712378.826704543</v>
      </c>
      <c r="AE5" s="2">
        <v>4000000</v>
      </c>
      <c r="AF5" s="8">
        <f t="shared" ref="AF5:AF6" si="11">+AE5/$AE$4</f>
        <v>1</v>
      </c>
      <c r="AG5" s="2">
        <v>800000</v>
      </c>
      <c r="AH5" s="8">
        <f t="shared" ref="AH5" si="12">+AG5/$AG$4</f>
        <v>1</v>
      </c>
      <c r="AI5" s="8">
        <f t="shared" si="5"/>
        <v>0.88093461760243386</v>
      </c>
      <c r="AJ5" s="2">
        <v>479600</v>
      </c>
      <c r="AK5" s="4">
        <f t="shared" si="6"/>
        <v>0.13118430518880911</v>
      </c>
      <c r="AL5" s="4">
        <f t="shared" ref="AL5:AR5" si="13">+S5/$D5</f>
        <v>0.99621338218141253</v>
      </c>
      <c r="AM5" s="4">
        <f t="shared" si="13"/>
        <v>2.3424124099839403E-3</v>
      </c>
      <c r="AN5" s="4">
        <f t="shared" si="13"/>
        <v>1.4442054086033771E-3</v>
      </c>
      <c r="AO5" s="4">
        <f t="shared" si="13"/>
        <v>0</v>
      </c>
      <c r="AP5" s="4">
        <f t="shared" si="13"/>
        <v>0</v>
      </c>
      <c r="AQ5" s="4">
        <f t="shared" si="13"/>
        <v>0</v>
      </c>
      <c r="AR5" s="4">
        <f t="shared" si="13"/>
        <v>0</v>
      </c>
    </row>
    <row r="6" spans="1:44" x14ac:dyDescent="0.25">
      <c r="A6">
        <v>2</v>
      </c>
      <c r="B6" s="3">
        <v>43569</v>
      </c>
      <c r="C6">
        <v>832</v>
      </c>
      <c r="D6" s="2">
        <v>39387268.649999999</v>
      </c>
      <c r="E6" s="32">
        <v>7.5600000000000001E-2</v>
      </c>
      <c r="F6" s="8">
        <f t="shared" si="0"/>
        <v>0.98468158233330483</v>
      </c>
      <c r="G6" s="2">
        <v>93247.93</v>
      </c>
      <c r="H6" s="8"/>
      <c r="I6" s="8"/>
      <c r="J6" s="8"/>
      <c r="K6" s="8"/>
      <c r="L6" s="8"/>
      <c r="M6" s="8"/>
      <c r="N6" s="6">
        <f t="shared" si="7"/>
        <v>2.3562645206697853E-3</v>
      </c>
      <c r="O6" s="6">
        <f t="shared" ref="O6" si="14">1-(+N6-1)^12</f>
        <v>2.7911606229500951E-2</v>
      </c>
      <c r="P6" s="40" t="s">
        <v>63</v>
      </c>
      <c r="Q6" s="40" t="s">
        <v>63</v>
      </c>
      <c r="R6" s="40" t="s">
        <v>63</v>
      </c>
      <c r="S6" s="26">
        <v>39305276.359999999</v>
      </c>
      <c r="T6" s="26">
        <v>69912.31</v>
      </c>
      <c r="U6" s="26">
        <v>12079.98</v>
      </c>
      <c r="V6" s="26">
        <v>0</v>
      </c>
      <c r="W6" s="26">
        <v>0</v>
      </c>
      <c r="X6" s="26">
        <v>0</v>
      </c>
      <c r="Y6" s="26">
        <v>0</v>
      </c>
      <c r="Z6" s="26">
        <f t="shared" si="9"/>
        <v>0</v>
      </c>
      <c r="AA6" s="4">
        <f t="shared" si="10"/>
        <v>0</v>
      </c>
      <c r="AB6" s="2">
        <v>34639866.979999997</v>
      </c>
      <c r="AC6" s="8">
        <f t="shared" si="1"/>
        <v>0.98408713011363624</v>
      </c>
      <c r="AD6" s="2">
        <f t="shared" si="2"/>
        <v>29522613.903409086</v>
      </c>
      <c r="AE6" s="2">
        <v>4000000</v>
      </c>
      <c r="AF6" s="8">
        <f t="shared" si="11"/>
        <v>1</v>
      </c>
      <c r="AG6" s="2">
        <v>800000</v>
      </c>
      <c r="AH6" s="8">
        <f t="shared" ref="AH6" si="15">+AG6/$AG$4</f>
        <v>1</v>
      </c>
      <c r="AI6" s="8">
        <f t="shared" si="5"/>
        <v>0.87946862443836904</v>
      </c>
      <c r="AJ6" s="2">
        <v>459627.73</v>
      </c>
      <c r="AK6" s="4">
        <f t="shared" si="6"/>
        <v>0.13220082474543454</v>
      </c>
      <c r="AL6" s="4">
        <f t="shared" ref="AL6" si="16">+S6/$D6</f>
        <v>0.99791830475150256</v>
      </c>
      <c r="AM6" s="4">
        <f t="shared" ref="AM6" si="17">+T6/$D6</f>
        <v>1.7749976679329858E-3</v>
      </c>
      <c r="AN6" s="4">
        <f t="shared" ref="AN6" si="18">+U6/$D6</f>
        <v>3.0669758056452591E-4</v>
      </c>
      <c r="AO6" s="4">
        <f t="shared" ref="AO6" si="19">+V6/$D6</f>
        <v>0</v>
      </c>
      <c r="AP6" s="4">
        <f t="shared" ref="AP6" si="20">+W6/$D6</f>
        <v>0</v>
      </c>
      <c r="AQ6" s="4">
        <f t="shared" ref="AQ6" si="21">+X6/$D6</f>
        <v>0</v>
      </c>
      <c r="AR6" s="4">
        <f t="shared" ref="AR6" si="22">+Y6/$D6</f>
        <v>0</v>
      </c>
    </row>
    <row r="7" spans="1:44" x14ac:dyDescent="0.25">
      <c r="A7">
        <f t="shared" ref="A7:A12" si="23">A6+1</f>
        <v>3</v>
      </c>
      <c r="B7" s="3">
        <f t="shared" ref="B7:B39" si="24">+B6+31</f>
        <v>43600</v>
      </c>
      <c r="C7" s="41">
        <f>'[397]Part 1'!$C$17</f>
        <v>832</v>
      </c>
      <c r="D7" s="2">
        <f>'[397]Part 1'!$C$21</f>
        <v>39321496.509999998</v>
      </c>
      <c r="E7" s="32">
        <f>'[397]Part 1'!$E$25</f>
        <v>7.5600000000000001E-2</v>
      </c>
      <c r="F7" s="8">
        <f t="shared" si="0"/>
        <v>0.98303727905693006</v>
      </c>
      <c r="G7" s="2">
        <f>'[397]Part 2 - 3'!$C$49</f>
        <v>0</v>
      </c>
      <c r="H7" s="8"/>
      <c r="I7" s="8"/>
      <c r="J7" s="8"/>
      <c r="K7" s="8"/>
      <c r="L7" s="8"/>
      <c r="M7" s="8"/>
      <c r="N7" s="6">
        <f t="shared" si="7"/>
        <v>0</v>
      </c>
      <c r="O7" s="6">
        <f t="shared" ref="O7" si="25">1-(+N7-1)^12</f>
        <v>0</v>
      </c>
      <c r="P7" s="20">
        <f t="shared" ref="P7:P23" si="26">AVERAGE(O5:O7)</f>
        <v>1.8976732713966715E-2</v>
      </c>
      <c r="Q7" s="40" t="s">
        <v>63</v>
      </c>
      <c r="R7" s="40" t="s">
        <v>63</v>
      </c>
      <c r="S7" s="26">
        <f>'[397]Part 8 - 11'!$C$3</f>
        <v>39096265.130000003</v>
      </c>
      <c r="T7" s="26">
        <f>'[397]Part 8 - 11'!$D$3</f>
        <v>213151.4</v>
      </c>
      <c r="U7" s="26">
        <f>'[397]Part 8 - 11'!$E$3</f>
        <v>12079.98</v>
      </c>
      <c r="V7" s="26">
        <f>'[397]Part 8 - 11'!$F$3</f>
        <v>0</v>
      </c>
      <c r="W7" s="26">
        <f>'[397]Part 8 - 11'!$G$3</f>
        <v>0</v>
      </c>
      <c r="X7" s="26">
        <f>'[397]Part 8 - 11'!$I$3</f>
        <v>0</v>
      </c>
      <c r="Y7" s="26">
        <f>'[397]Part 12 - 13 - Deemed Defaul'!$L$36</f>
        <v>0</v>
      </c>
      <c r="Z7" s="26">
        <f t="shared" si="9"/>
        <v>0</v>
      </c>
      <c r="AA7" s="4">
        <f t="shared" si="10"/>
        <v>0</v>
      </c>
      <c r="AB7" s="2">
        <f>'[397]Part 12 - 13 - Deemed Defaul'!$V$4</f>
        <v>34521491.070000008</v>
      </c>
      <c r="AC7" s="8">
        <f t="shared" si="1"/>
        <v>0.98072417812500023</v>
      </c>
      <c r="AD7" s="2">
        <f t="shared" si="2"/>
        <v>29421725.343750004</v>
      </c>
      <c r="AE7" s="2">
        <f>'[397]Part 12 - 13 - Deemed Defaul'!$V$5</f>
        <v>4000000</v>
      </c>
      <c r="AF7" s="8">
        <f t="shared" ref="AF7" si="27">+AE7/$AE$4</f>
        <v>1</v>
      </c>
      <c r="AG7" s="2">
        <f>'[397]Part 12 - 13 - Deemed Defaul'!$V$6</f>
        <v>800000</v>
      </c>
      <c r="AH7" s="8">
        <f t="shared" ref="AH7" si="28">+AG7/$AG$4</f>
        <v>1</v>
      </c>
      <c r="AI7" s="8">
        <f t="shared" si="5"/>
        <v>0.8779292278771923</v>
      </c>
      <c r="AJ7" s="2">
        <f>'[397]Part 5 - 7'!$C$32</f>
        <v>459627.734990875</v>
      </c>
      <c r="AK7" s="4">
        <f t="shared" si="6"/>
        <v>0.13375974064601701</v>
      </c>
      <c r="AL7" s="4">
        <f t="shared" ref="AL7" si="29">+S7/$D7</f>
        <v>0.99427205472857028</v>
      </c>
      <c r="AM7" s="4">
        <f t="shared" ref="AM7" si="30">+T7/$D7</f>
        <v>5.4207346850543353E-3</v>
      </c>
      <c r="AN7" s="4">
        <f t="shared" ref="AN7" si="31">+U7/$D7</f>
        <v>3.0721058637551838E-4</v>
      </c>
      <c r="AO7" s="4">
        <f t="shared" ref="AO7" si="32">+V7/$D7</f>
        <v>0</v>
      </c>
      <c r="AP7" s="4">
        <f t="shared" ref="AP7" si="33">+W7/$D7</f>
        <v>0</v>
      </c>
      <c r="AQ7" s="4">
        <f t="shared" ref="AQ7" si="34">+X7/$D7</f>
        <v>0</v>
      </c>
      <c r="AR7" s="4">
        <f t="shared" ref="AR7" si="35">+Y7/$D7</f>
        <v>0</v>
      </c>
    </row>
    <row r="8" spans="1:44" x14ac:dyDescent="0.25">
      <c r="A8">
        <f t="shared" si="23"/>
        <v>4</v>
      </c>
      <c r="B8" s="3">
        <f t="shared" si="24"/>
        <v>43631</v>
      </c>
      <c r="C8" s="41">
        <f>'[398]Part 1'!$C$17</f>
        <v>826</v>
      </c>
      <c r="D8" s="2">
        <f>'[398]Part 1'!$C$21</f>
        <v>38938652.990000002</v>
      </c>
      <c r="E8" s="32">
        <f>'[398]Part 1'!$E$25</f>
        <v>7.5600000000000001E-2</v>
      </c>
      <c r="F8" s="8">
        <f t="shared" si="0"/>
        <v>0.97346619235859799</v>
      </c>
      <c r="G8" s="2">
        <f>'[398]Part 2 - 3'!$C$49</f>
        <v>0</v>
      </c>
      <c r="H8" s="8"/>
      <c r="I8" s="8"/>
      <c r="J8" s="8"/>
      <c r="K8" s="8"/>
      <c r="L8" s="8"/>
      <c r="M8" s="8"/>
      <c r="N8" s="6">
        <f t="shared" si="7"/>
        <v>0</v>
      </c>
      <c r="O8" s="6">
        <f t="shared" ref="O8" si="36">1-(+N8-1)^12</f>
        <v>0</v>
      </c>
      <c r="P8" s="20">
        <f t="shared" si="26"/>
        <v>9.3038687431669844E-3</v>
      </c>
      <c r="Q8" s="40" t="s">
        <v>63</v>
      </c>
      <c r="R8" s="40" t="s">
        <v>63</v>
      </c>
      <c r="S8" s="26">
        <f>'[398]Part 8 - 11'!$C$3</f>
        <v>38835371.850000001</v>
      </c>
      <c r="T8" s="26">
        <f>'[398]Part 8 - 11'!$D$3</f>
        <v>64926.04</v>
      </c>
      <c r="U8" s="26">
        <f>'[398]Part 8 - 11'!$E$3</f>
        <v>38355.1</v>
      </c>
      <c r="V8" s="26">
        <f>'[398]Part 8 - 11'!$F$3</f>
        <v>0</v>
      </c>
      <c r="W8" s="26">
        <f>'[398]Part 8 - 11'!$G$3</f>
        <v>0</v>
      </c>
      <c r="X8" s="26">
        <f>'[398]Part 8 - 11'!$I$3</f>
        <v>0</v>
      </c>
      <c r="Y8" s="26">
        <f>'[398]Part 12 - 13 - Deemed Defaul'!$L$36</f>
        <v>0</v>
      </c>
      <c r="Z8" s="26">
        <f t="shared" si="9"/>
        <v>0</v>
      </c>
      <c r="AA8" s="4">
        <f t="shared" si="10"/>
        <v>0</v>
      </c>
      <c r="AB8" s="2">
        <f>'[398]Part 12 - 13 - Deemed Defaul'!$V$4</f>
        <v>34138647.550000004</v>
      </c>
      <c r="AC8" s="8">
        <f t="shared" si="1"/>
        <v>0.9698479417613638</v>
      </c>
      <c r="AD8" s="2">
        <f t="shared" si="2"/>
        <v>29095438.25284091</v>
      </c>
      <c r="AE8" s="2">
        <f>'[398]Part 12 - 13 - Deemed Defaul'!$V$5</f>
        <v>3981729.7</v>
      </c>
      <c r="AF8" s="8">
        <f t="shared" ref="AF8" si="37">+AE8/$AE$4</f>
        <v>0.99543242500000007</v>
      </c>
      <c r="AG8" s="2">
        <f>'[398]Part 12 - 13 - Deemed Defaul'!$V$6</f>
        <v>800000</v>
      </c>
      <c r="AH8" s="8">
        <f t="shared" ref="AH8" si="38">+AG8/$AG$4</f>
        <v>1</v>
      </c>
      <c r="AI8" s="8">
        <f t="shared" si="5"/>
        <v>0.87672903217189591</v>
      </c>
      <c r="AJ8" s="2">
        <f>'[398]Part 5 - 7'!$C$32</f>
        <v>452977.17967906257</v>
      </c>
      <c r="AK8" s="4">
        <f t="shared" si="6"/>
        <v>0.13490406617373499</v>
      </c>
      <c r="AL8" s="4">
        <f t="shared" ref="AL8" si="39">+S8/$D8</f>
        <v>0.99734759340477119</v>
      </c>
      <c r="AM8" s="4">
        <f t="shared" ref="AM8" si="40">+T8/$D8</f>
        <v>1.6673930661308168E-3</v>
      </c>
      <c r="AN8" s="4">
        <f t="shared" ref="AN8" si="41">+U8/$D8</f>
        <v>9.850135290979411E-4</v>
      </c>
      <c r="AO8" s="4">
        <f t="shared" ref="AO8" si="42">+V8/$D8</f>
        <v>0</v>
      </c>
      <c r="AP8" s="4">
        <f t="shared" ref="AP8" si="43">+W8/$D8</f>
        <v>0</v>
      </c>
      <c r="AQ8" s="4">
        <f t="shared" ref="AQ8" si="44">+X8/$D8</f>
        <v>0</v>
      </c>
      <c r="AR8" s="4">
        <f t="shared" ref="AR8" si="45">+Y8/$D8</f>
        <v>0</v>
      </c>
    </row>
    <row r="9" spans="1:44" x14ac:dyDescent="0.25">
      <c r="A9">
        <f t="shared" si="23"/>
        <v>5</v>
      </c>
      <c r="B9" s="3">
        <f t="shared" si="24"/>
        <v>43662</v>
      </c>
      <c r="C9" s="41">
        <f>'[399]Part 1'!$C$17</f>
        <v>825</v>
      </c>
      <c r="D9" s="2">
        <f>'[399]Part 1'!$C$21</f>
        <v>38797048.170000002</v>
      </c>
      <c r="E9" s="32">
        <f>'[399]Part 1'!$E$25</f>
        <v>7.5600000000000001E-2</v>
      </c>
      <c r="F9" s="8">
        <f t="shared" si="0"/>
        <v>0.96992607234005423</v>
      </c>
      <c r="G9" s="2">
        <f>'[399]Part 2 - 3'!$C$49</f>
        <v>305.99</v>
      </c>
      <c r="H9" s="8"/>
      <c r="I9" s="8"/>
      <c r="J9" s="8"/>
      <c r="K9" s="8"/>
      <c r="L9" s="8"/>
      <c r="M9" s="8"/>
      <c r="N9" s="6">
        <f t="shared" si="7"/>
        <v>7.8582584784990533E-6</v>
      </c>
      <c r="O9" s="6">
        <f t="shared" ref="O9" si="46">1-(+N9-1)^12</f>
        <v>9.4295026201396404E-5</v>
      </c>
      <c r="P9" s="20">
        <f t="shared" si="26"/>
        <v>3.1431675400465466E-5</v>
      </c>
      <c r="Q9" s="40" t="s">
        <v>63</v>
      </c>
      <c r="R9" s="40" t="s">
        <v>63</v>
      </c>
      <c r="S9" s="26">
        <f>'[399]Part 8 - 11'!$C$3</f>
        <v>38518530.079999991</v>
      </c>
      <c r="T9" s="26">
        <f>'[399]Part 8 - 11'!$D$3</f>
        <v>234170.67</v>
      </c>
      <c r="U9" s="26">
        <f>'[399]Part 8 - 11'!$E$3</f>
        <v>44347.42</v>
      </c>
      <c r="V9" s="26">
        <f>'[399]Part 8 - 11'!$F$3</f>
        <v>0</v>
      </c>
      <c r="W9" s="26">
        <f>'[399]Part 8 - 11'!$G$3</f>
        <v>0</v>
      </c>
      <c r="X9" s="26">
        <f>'[399]Part 8 - 11'!$I$3</f>
        <v>0</v>
      </c>
      <c r="Y9" s="26">
        <f>'[399]Part 12 - 13 - Deemed Defaul'!$L$36</f>
        <v>0</v>
      </c>
      <c r="Z9" s="26">
        <f t="shared" si="9"/>
        <v>0</v>
      </c>
      <c r="AA9" s="4">
        <f t="shared" si="10"/>
        <v>0</v>
      </c>
      <c r="AB9" s="2">
        <f>'[399]Part 12 - 13 - Deemed Defaul'!$V$4</f>
        <v>33997042.730000004</v>
      </c>
      <c r="AC9" s="8">
        <f t="shared" si="1"/>
        <v>0.96582507755681835</v>
      </c>
      <c r="AD9" s="2">
        <f t="shared" si="2"/>
        <v>28974752.326704547</v>
      </c>
      <c r="AE9" s="2">
        <f>'[399]Part 12 - 13 - Deemed Defaul'!$V$5</f>
        <v>3971089.81</v>
      </c>
      <c r="AF9" s="8">
        <f t="shared" ref="AF9" si="47">+AE9/$AE$4</f>
        <v>0.99277245250000001</v>
      </c>
      <c r="AG9" s="2">
        <f>'[399]Part 12 - 13 - Deemed Defaul'!$V$6</f>
        <v>800000</v>
      </c>
      <c r="AH9" s="8">
        <f t="shared" ref="AH9" si="48">+AG9/$AG$4</f>
        <v>1</v>
      </c>
      <c r="AI9" s="8">
        <f t="shared" si="5"/>
        <v>0.87627910713806256</v>
      </c>
      <c r="AJ9" s="2">
        <f>'[399]Part 5 - 7'!$C$32</f>
        <v>451098.26072368748</v>
      </c>
      <c r="AK9" s="4">
        <f t="shared" si="6"/>
        <v>0.13534802126477566</v>
      </c>
      <c r="AL9" s="4">
        <f t="shared" ref="AL9" si="49">+S9/$D9</f>
        <v>0.99282115255831815</v>
      </c>
      <c r="AM9" s="4">
        <f t="shared" ref="AM9" si="50">+T9/$D9</f>
        <v>6.0357857374591086E-3</v>
      </c>
      <c r="AN9" s="4">
        <f t="shared" ref="AN9" si="51">+U9/$D9</f>
        <v>1.1430617042224322E-3</v>
      </c>
      <c r="AO9" s="4">
        <f t="shared" ref="AO9" si="52">+V9/$D9</f>
        <v>0</v>
      </c>
      <c r="AP9" s="4">
        <f t="shared" ref="AP9" si="53">+W9/$D9</f>
        <v>0</v>
      </c>
      <c r="AQ9" s="4">
        <f t="shared" ref="AQ9" si="54">+X9/$D9</f>
        <v>0</v>
      </c>
      <c r="AR9" s="4">
        <f t="shared" ref="AR9" si="55">+Y9/$D9</f>
        <v>0</v>
      </c>
    </row>
    <row r="10" spans="1:44" x14ac:dyDescent="0.25">
      <c r="A10">
        <f t="shared" si="23"/>
        <v>6</v>
      </c>
      <c r="B10" s="3">
        <f t="shared" si="24"/>
        <v>43693</v>
      </c>
      <c r="C10" s="41">
        <f>'[400]Part 1'!$C$17</f>
        <v>819</v>
      </c>
      <c r="D10" s="2">
        <f>'[400]Part 1'!$C$21</f>
        <v>38339242.049999997</v>
      </c>
      <c r="E10" s="32">
        <f>'[400]Part 1'!$E$25</f>
        <v>7.5600000000000001E-2</v>
      </c>
      <c r="F10" s="8">
        <f t="shared" ref="F10" si="56">+D10/D$4</f>
        <v>0.95848092089659476</v>
      </c>
      <c r="G10" s="2">
        <f>'[400]Part 2 - 3'!$C$49</f>
        <v>295366.94</v>
      </c>
      <c r="H10" s="8"/>
      <c r="I10" s="8"/>
      <c r="J10" s="8"/>
      <c r="K10" s="8"/>
      <c r="L10" s="8"/>
      <c r="M10" s="8"/>
      <c r="N10" s="6">
        <f t="shared" si="7"/>
        <v>7.6131291923490678E-3</v>
      </c>
      <c r="O10" s="6">
        <f t="shared" ref="O10" si="57">1-(+N10-1)^12</f>
        <v>8.762764102440912E-2</v>
      </c>
      <c r="P10" s="20">
        <f t="shared" si="26"/>
        <v>2.9240645350203504E-2</v>
      </c>
      <c r="Q10" s="20">
        <f>AVERAGE(O5:O10)</f>
        <v>2.4108689032085111E-2</v>
      </c>
      <c r="R10" s="40" t="s">
        <v>63</v>
      </c>
      <c r="S10" s="26">
        <f>'[400]Part 8 - 11'!$C$3</f>
        <v>37976790.329999998</v>
      </c>
      <c r="T10" s="26">
        <f>'[400]Part 8 - 11'!$D$3</f>
        <v>338164.06</v>
      </c>
      <c r="U10" s="26">
        <f>'[400]Part 8 - 11'!$E$3</f>
        <v>12079.98</v>
      </c>
      <c r="V10" s="26">
        <f>'[400]Part 8 - 11'!$F$3</f>
        <v>12207.68</v>
      </c>
      <c r="W10" s="26">
        <f>'[400]Part 8 - 11'!$G$3</f>
        <v>0</v>
      </c>
      <c r="X10" s="26">
        <f>'[400]Part 8 - 11'!$I$3</f>
        <v>0</v>
      </c>
      <c r="Y10" s="26">
        <f>'[400]Part 12 - 13 - Deemed Defaul'!$L$36</f>
        <v>0</v>
      </c>
      <c r="Z10" s="26">
        <f t="shared" si="9"/>
        <v>0</v>
      </c>
      <c r="AA10" s="4">
        <f t="shared" si="10"/>
        <v>0</v>
      </c>
      <c r="AB10" s="2">
        <f>'[400]Part 12 - 13 - Deemed Defaul'!$V$4</f>
        <v>33539236.610000003</v>
      </c>
      <c r="AC10" s="8">
        <f t="shared" ref="AC10" si="58">+AB10/$AB$4</f>
        <v>0.95281922187500012</v>
      </c>
      <c r="AD10" s="2">
        <f t="shared" ref="AD10" si="59">AB10*$AD$2</f>
        <v>28584576.65625</v>
      </c>
      <c r="AE10" s="2">
        <f>'[400]Part 12 - 13 - Deemed Defaul'!$V$5</f>
        <v>3928924.09</v>
      </c>
      <c r="AF10" s="8">
        <f t="shared" ref="AF10" si="60">+AE10/$AE$4</f>
        <v>0.98223102249999994</v>
      </c>
      <c r="AG10" s="2">
        <f>'[400]Part 12 - 13 - Deemed Defaul'!$V$6</f>
        <v>800000</v>
      </c>
      <c r="AH10" s="8">
        <f t="shared" ref="AH10" si="61">+AG10/$AG$4</f>
        <v>1</v>
      </c>
      <c r="AI10" s="8">
        <f t="shared" ref="AI10" si="62">+AB10/D10</f>
        <v>0.87480176489300221</v>
      </c>
      <c r="AJ10" s="2">
        <f>'[400]Part 5 - 7'!$C$32</f>
        <v>445023.74576893752</v>
      </c>
      <c r="AK10" s="4">
        <f t="shared" ref="AK10" si="63">((+D10+AJ10)-AB10)/D10</f>
        <v>0.1368057610249217</v>
      </c>
      <c r="AL10" s="4">
        <f t="shared" ref="AL10" si="64">+S10/$D10</f>
        <v>0.99054619495275076</v>
      </c>
      <c r="AM10" s="4">
        <f t="shared" ref="AM10" si="65">+T10/$D10</f>
        <v>8.8203115637754247E-3</v>
      </c>
      <c r="AN10" s="4">
        <f t="shared" ref="AN10" si="66">+U10/$D10</f>
        <v>3.1508134626777269E-4</v>
      </c>
      <c r="AO10" s="4">
        <f t="shared" ref="AO10" si="67">+V10/$D10</f>
        <v>3.1841213720603539E-4</v>
      </c>
      <c r="AP10" s="4">
        <f t="shared" ref="AP10" si="68">+W10/$D10</f>
        <v>0</v>
      </c>
      <c r="AQ10" s="4">
        <f t="shared" ref="AQ10" si="69">+X10/$D10</f>
        <v>0</v>
      </c>
      <c r="AR10" s="4">
        <f t="shared" ref="AR10" si="70">+Y10/$D10</f>
        <v>0</v>
      </c>
    </row>
    <row r="11" spans="1:44" x14ac:dyDescent="0.25">
      <c r="A11">
        <f t="shared" si="23"/>
        <v>7</v>
      </c>
      <c r="B11" s="3">
        <f t="shared" si="24"/>
        <v>43724</v>
      </c>
      <c r="C11" s="41">
        <f>'[401]Part 1'!$C$17</f>
        <v>817</v>
      </c>
      <c r="D11" s="2">
        <f>'[401]Part 1'!$C$21</f>
        <v>38189144.700000003</v>
      </c>
      <c r="E11" s="32">
        <f>'[401]Part 1'!$E$25</f>
        <v>7.5600000000000001E-2</v>
      </c>
      <c r="F11" s="8">
        <f t="shared" ref="F11" si="71">+D11/D$4</f>
        <v>0.95472848765692586</v>
      </c>
      <c r="G11" s="2">
        <f>'[401]Part 2 - 3'!$C$49</f>
        <v>81191.25</v>
      </c>
      <c r="H11" s="8"/>
      <c r="I11" s="8"/>
      <c r="J11" s="8"/>
      <c r="K11" s="8"/>
      <c r="L11" s="8"/>
      <c r="M11" s="8"/>
      <c r="N11" s="6">
        <f t="shared" ref="N11" si="72">G11/D10</f>
        <v>2.1177061845436248E-3</v>
      </c>
      <c r="O11" s="6">
        <f t="shared" ref="O11" si="73">1-(+N11-1)^12</f>
        <v>2.5118564837977697E-2</v>
      </c>
      <c r="P11" s="20">
        <f t="shared" si="26"/>
        <v>3.7613500296196069E-2</v>
      </c>
      <c r="Q11" s="20">
        <f>AVERAGE(O6:O11)</f>
        <v>2.3458684519681527E-2</v>
      </c>
      <c r="R11" s="40" t="s">
        <v>63</v>
      </c>
      <c r="S11" s="26">
        <f>'[401]Part 8 - 11'!$C$3</f>
        <v>37792519.259999998</v>
      </c>
      <c r="T11" s="26">
        <f>'[401]Part 8 - 11'!$D$3</f>
        <v>276444.42</v>
      </c>
      <c r="U11" s="26">
        <f>'[401]Part 8 - 11'!$E$3</f>
        <v>95893.36</v>
      </c>
      <c r="V11" s="26">
        <f>'[401]Part 8 - 11'!$F$3</f>
        <v>12079.98</v>
      </c>
      <c r="W11" s="26">
        <f>'[401]Part 8 - 11'!$G$3</f>
        <v>12207.68</v>
      </c>
      <c r="X11" s="26">
        <f>'[401]Part 8 - 11'!$I$3</f>
        <v>0</v>
      </c>
      <c r="Y11" s="26">
        <f>'[401]Part 12 - 13 - Deemed Default'!$L$36</f>
        <v>0</v>
      </c>
      <c r="Z11" s="26">
        <f t="shared" ref="Z11" si="74">Y10+Y11</f>
        <v>0</v>
      </c>
      <c r="AA11" s="4">
        <f t="shared" ref="AA11" si="75">Z11/$D$4</f>
        <v>0</v>
      </c>
      <c r="AB11" s="2">
        <f>'[401]Part 12 - 13 - Deemed Default'!$V$4</f>
        <v>33389139.260000002</v>
      </c>
      <c r="AC11" s="8">
        <f t="shared" ref="AC11" si="76">+AB11/$AB$4</f>
        <v>0.94855509261363646</v>
      </c>
      <c r="AD11" s="2">
        <f t="shared" ref="AD11" si="77">AB11*$AD$2</f>
        <v>28456652.77840909</v>
      </c>
      <c r="AE11" s="2">
        <f>'[401]Part 12 - 13 - Deemed Default'!$V$5</f>
        <v>3906523.5</v>
      </c>
      <c r="AF11" s="8">
        <f t="shared" ref="AF11" si="78">+AE11/$AE$4</f>
        <v>0.97663087500000001</v>
      </c>
      <c r="AG11" s="2">
        <f>'[401]Part 12 - 13 - Deemed Default'!$V$6</f>
        <v>800000</v>
      </c>
      <c r="AH11" s="8">
        <f t="shared" ref="AH11" si="79">+AG11/$AG$4</f>
        <v>1</v>
      </c>
      <c r="AI11" s="8">
        <f t="shared" ref="AI11" si="80">+AB11/D11</f>
        <v>0.87430968989467839</v>
      </c>
      <c r="AJ11" s="2">
        <f>'[401]Part 5 - 7'!$C$32</f>
        <v>443032.14155612502</v>
      </c>
      <c r="AK11" s="4">
        <f t="shared" ref="AK11" si="81">((+D11+AJ11)-AB11)/D11</f>
        <v>0.13729130680311158</v>
      </c>
      <c r="AL11" s="4">
        <f t="shared" ref="AL11" si="82">+S11/$D11</f>
        <v>0.98961418373949583</v>
      </c>
      <c r="AM11" s="4">
        <f t="shared" ref="AM11" si="83">+T11/$D11</f>
        <v>7.2388219786446266E-3</v>
      </c>
      <c r="AN11" s="4">
        <f t="shared" ref="AN11" si="84">+U11/$D11</f>
        <v>2.5110109365711979E-3</v>
      </c>
      <c r="AO11" s="4">
        <f t="shared" ref="AO11" si="85">+V11/$D11</f>
        <v>3.1631973155973821E-4</v>
      </c>
      <c r="AP11" s="4">
        <f t="shared" ref="AP11" si="86">+W11/$D11</f>
        <v>3.1966361372843209E-4</v>
      </c>
      <c r="AQ11" s="4">
        <f t="shared" ref="AQ11" si="87">+X11/$D11</f>
        <v>0</v>
      </c>
      <c r="AR11" s="4">
        <f t="shared" ref="AR11" si="88">+Y11/$D11</f>
        <v>0</v>
      </c>
    </row>
    <row r="12" spans="1:44" x14ac:dyDescent="0.25">
      <c r="A12">
        <f t="shared" si="23"/>
        <v>8</v>
      </c>
      <c r="B12" s="3">
        <f t="shared" si="24"/>
        <v>43755</v>
      </c>
      <c r="C12" s="41">
        <f>'[402]Part 1'!$C$17</f>
        <v>805</v>
      </c>
      <c r="D12" s="2">
        <f>'[402]Part 1'!$C$21</f>
        <v>37605749.32</v>
      </c>
      <c r="E12" s="32">
        <f>'[402]Part 1'!$E$25</f>
        <v>7.5600000000000001E-2</v>
      </c>
      <c r="F12" s="8">
        <f t="shared" ref="F12" si="89">+D12/D$4</f>
        <v>0.9401436051404698</v>
      </c>
      <c r="G12" s="2">
        <f>'[402]Part 2 - 3'!$C$49</f>
        <v>432977.19</v>
      </c>
      <c r="H12" s="8"/>
      <c r="I12" s="8"/>
      <c r="J12" s="8"/>
      <c r="K12" s="8"/>
      <c r="L12" s="8"/>
      <c r="M12" s="8"/>
      <c r="N12" s="6">
        <f t="shared" ref="N12" si="90">G12/D11</f>
        <v>1.1337703250526058E-2</v>
      </c>
      <c r="O12" s="6">
        <f t="shared" ref="O12" si="91">1-(+N12-1)^12</f>
        <v>0.12788115975410475</v>
      </c>
      <c r="P12" s="20">
        <f t="shared" si="26"/>
        <v>8.0209121872163849E-2</v>
      </c>
      <c r="Q12" s="20">
        <f t="shared" ref="Q12:Q23" si="92">AVERAGE(O7:O12)</f>
        <v>4.012027677378216E-2</v>
      </c>
      <c r="R12" s="40" t="s">
        <v>63</v>
      </c>
      <c r="S12" s="26">
        <f>'[402]Part 8 - 11'!$C$3</f>
        <v>37053397.709999993</v>
      </c>
      <c r="T12" s="26">
        <f>'[402]Part 8 - 11'!$D$3</f>
        <v>435358.04</v>
      </c>
      <c r="U12" s="26">
        <f>'[402]Part 8 - 11'!$E$3</f>
        <v>49943.89</v>
      </c>
      <c r="V12" s="26">
        <f>'[402]Part 8 - 11'!$F$3</f>
        <v>54842</v>
      </c>
      <c r="W12" s="26">
        <f>'[402]Part 8 - 11'!$G$3</f>
        <v>12207.68</v>
      </c>
      <c r="X12" s="26">
        <f>'[402]Part 8 - 11'!$I$3</f>
        <v>0</v>
      </c>
      <c r="Y12" s="26">
        <f>'[402]Part 12 - 13 - Deemed Default'!$L$36</f>
        <v>0</v>
      </c>
      <c r="Z12" s="26">
        <f t="shared" ref="Z12" si="93">Y11+Y12</f>
        <v>0</v>
      </c>
      <c r="AA12" s="4">
        <f t="shared" ref="AA12" si="94">Z12/$D$4</f>
        <v>0</v>
      </c>
      <c r="AB12" s="2">
        <f>'[402]Part 12 - 13 - Deemed Default'!$V$4</f>
        <v>32805743.880000003</v>
      </c>
      <c r="AC12" s="8">
        <f t="shared" ref="AC12" si="95">+AB12/$AB$4</f>
        <v>0.93198136022727285</v>
      </c>
      <c r="AD12" s="2">
        <f t="shared" ref="AD12" si="96">AB12*$AD$2</f>
        <v>27959440.80681818</v>
      </c>
      <c r="AE12" s="2">
        <f>'[402]Part 12 - 13 - Deemed Default'!$V$5</f>
        <v>3884435.4</v>
      </c>
      <c r="AF12" s="8">
        <f t="shared" ref="AF12" si="97">+AE12/$AE$4</f>
        <v>0.97110885000000002</v>
      </c>
      <c r="AG12" s="2">
        <f>'[402]Part 12 - 13 - Deemed Default'!$V$6</f>
        <v>800000</v>
      </c>
      <c r="AH12" s="8">
        <f t="shared" ref="AH12" si="98">+AG12/$AG$4</f>
        <v>1</v>
      </c>
      <c r="AI12" s="8">
        <f t="shared" ref="AI12" si="99">+AB12/D12</f>
        <v>0.87235979798846364</v>
      </c>
      <c r="AJ12" s="2">
        <f>'[402]Part 5 - 7'!$C$32</f>
        <v>435291.21410774998</v>
      </c>
      <c r="AK12" s="4">
        <f t="shared" ref="AK12" si="100">((+D12+AJ12)-AB12)/D12</f>
        <v>0.13921532608109588</v>
      </c>
      <c r="AL12" s="4">
        <f t="shared" ref="AL12" si="101">+S12/$D12</f>
        <v>0.98531204350430934</v>
      </c>
      <c r="AM12" s="4">
        <f t="shared" ref="AM12" si="102">+T12/$D12</f>
        <v>1.1576901082209309E-2</v>
      </c>
      <c r="AN12" s="4">
        <f t="shared" ref="AN12" si="103">+U12/$D12</f>
        <v>1.3280918716712861E-3</v>
      </c>
      <c r="AO12" s="4">
        <f t="shared" ref="AO12" si="104">+V12/$D12</f>
        <v>1.4583408386130252E-3</v>
      </c>
      <c r="AP12" s="4">
        <f t="shared" ref="AP12" si="105">+W12/$D12</f>
        <v>3.2462270319681002E-4</v>
      </c>
      <c r="AQ12" s="4">
        <f t="shared" ref="AQ12" si="106">+X12/$D12</f>
        <v>0</v>
      </c>
      <c r="AR12" s="4">
        <f t="shared" ref="AR12" si="107">+Y12/$D12</f>
        <v>0</v>
      </c>
    </row>
    <row r="13" spans="1:44" x14ac:dyDescent="0.25">
      <c r="A13">
        <f t="shared" ref="A13:A91" si="108">A12+1</f>
        <v>9</v>
      </c>
      <c r="B13" s="3">
        <f t="shared" si="24"/>
        <v>43786</v>
      </c>
      <c r="C13" s="41">
        <f>'[403]Part 1'!$C$17</f>
        <v>799</v>
      </c>
      <c r="D13" s="2">
        <f>'[403]Part 1'!$C$21</f>
        <v>36935736.060000002</v>
      </c>
      <c r="E13" s="32">
        <f>'[403]Part 1'!$E$25</f>
        <v>7.5600000000000001E-2</v>
      </c>
      <c r="F13" s="8">
        <f t="shared" ref="F13:F18" si="109">+D13/D$4</f>
        <v>0.92339327591851461</v>
      </c>
      <c r="G13" s="2">
        <f>'[403]Part 2 - 3'!$C$49</f>
        <v>296608.37</v>
      </c>
      <c r="H13" s="8"/>
      <c r="I13" s="8"/>
      <c r="J13" s="8"/>
      <c r="K13" s="8"/>
      <c r="L13" s="8"/>
      <c r="M13" s="8"/>
      <c r="N13" s="6">
        <f t="shared" ref="N13" si="110">G13/D12</f>
        <v>7.8873144496087386E-3</v>
      </c>
      <c r="O13" s="6">
        <f t="shared" ref="O13" si="111">1-(+N13-1)^12</f>
        <v>9.0647986438830541E-2</v>
      </c>
      <c r="P13" s="20">
        <f t="shared" si="26"/>
        <v>8.1215903676970999E-2</v>
      </c>
      <c r="Q13" s="20">
        <f t="shared" si="92"/>
        <v>5.522827451358725E-2</v>
      </c>
      <c r="R13" s="40" t="s">
        <v>63</v>
      </c>
      <c r="S13" s="26">
        <f>'[403]Part 8 - 11'!$C$3</f>
        <v>36386810.710000001</v>
      </c>
      <c r="T13" s="26">
        <f>'[403]Part 8 - 11'!$D$3</f>
        <v>375060.62</v>
      </c>
      <c r="U13" s="26">
        <f>'[403]Part 8 - 11'!$E$3</f>
        <v>71676.81</v>
      </c>
      <c r="V13" s="26">
        <f>'[403]Part 8 - 11'!$F$3</f>
        <v>47345.919999999998</v>
      </c>
      <c r="W13" s="26">
        <f>'[403]Part 8 - 11'!$G$3</f>
        <v>54842</v>
      </c>
      <c r="X13" s="26">
        <f>'[403]Part 8 - 11'!$I$3</f>
        <v>0</v>
      </c>
      <c r="Y13" s="26">
        <f>'[403]Part 12 - 13 - Deemed Default'!$L$36</f>
        <v>0</v>
      </c>
      <c r="Z13" s="26">
        <f t="shared" ref="Z13" si="112">Y12+Y13</f>
        <v>0</v>
      </c>
      <c r="AA13" s="4">
        <f t="shared" ref="AA13" si="113">Z13/$D$4</f>
        <v>0</v>
      </c>
      <c r="AB13" s="2">
        <f>'[403]Part 12 - 13 - Deemed Default'!$V$4</f>
        <v>32135730.620000001</v>
      </c>
      <c r="AC13" s="8">
        <f t="shared" ref="AC13" si="114">+AB13/$AB$4</f>
        <v>0.91294689261363637</v>
      </c>
      <c r="AD13" s="2">
        <f t="shared" ref="AD13" si="115">AB13*$AD$2</f>
        <v>27388406.77840909</v>
      </c>
      <c r="AE13" s="2">
        <f>'[403]Part 12 - 13 - Deemed Default'!$V$5</f>
        <v>3835267.73</v>
      </c>
      <c r="AF13" s="8">
        <f t="shared" ref="AF13" si="116">+AE13/$AE$4</f>
        <v>0.9588169325</v>
      </c>
      <c r="AG13" s="2">
        <f>'[403]Part 12 - 13 - Deemed Default'!$V$6</f>
        <v>800000</v>
      </c>
      <c r="AH13" s="8">
        <f t="shared" ref="AH13" si="117">+AG13/$AG$4</f>
        <v>1</v>
      </c>
      <c r="AI13" s="8">
        <f t="shared" ref="AI13" si="118">+AB13/D13</f>
        <v>0.87004440815250939</v>
      </c>
      <c r="AJ13" s="2">
        <f>'[403]Part 5 - 7'!$C$32</f>
        <v>426400.97566412494</v>
      </c>
      <c r="AK13" s="4">
        <f t="shared" ref="AK13" si="119">((+D13+AJ13)-AB13)/D13</f>
        <v>0.1414999935881642</v>
      </c>
      <c r="AL13" s="4">
        <f t="shared" ref="AL13" si="120">+S13/$D13</f>
        <v>0.98513836710582126</v>
      </c>
      <c r="AM13" s="4">
        <f t="shared" ref="AM13" si="121">+T13/$D13</f>
        <v>1.0154410335582195E-2</v>
      </c>
      <c r="AN13" s="4">
        <f t="shared" ref="AN13" si="122">+U13/$D13</f>
        <v>1.9405816059429571E-3</v>
      </c>
      <c r="AO13" s="4">
        <f t="shared" ref="AO13" si="123">+V13/$D13</f>
        <v>1.2818458504005239E-3</v>
      </c>
      <c r="AP13" s="4">
        <f t="shared" ref="AP13" si="124">+W13/$D13</f>
        <v>1.484795102253067E-3</v>
      </c>
      <c r="AQ13" s="4">
        <f t="shared" ref="AQ13" si="125">+X13/$D13</f>
        <v>0</v>
      </c>
      <c r="AR13" s="4">
        <f t="shared" ref="AR13" si="126">+Y13/$D13</f>
        <v>0</v>
      </c>
    </row>
    <row r="14" spans="1:44" x14ac:dyDescent="0.25">
      <c r="A14">
        <f t="shared" si="108"/>
        <v>10</v>
      </c>
      <c r="B14" s="3">
        <f t="shared" si="24"/>
        <v>43817</v>
      </c>
      <c r="C14" s="41">
        <f>'[404]Part 1'!$C$17</f>
        <v>791</v>
      </c>
      <c r="D14" s="2">
        <f>'[404]Part 1'!$C$21</f>
        <v>36935736.060000002</v>
      </c>
      <c r="E14" s="32">
        <f>'[404]Part 1'!$E$25</f>
        <v>7.5600000000000001E-2</v>
      </c>
      <c r="F14" s="8">
        <f t="shared" si="109"/>
        <v>0.92339327591851461</v>
      </c>
      <c r="G14" s="2">
        <f>'[404]Part 2 - 3'!$C$49</f>
        <v>296608.37</v>
      </c>
      <c r="H14" s="8"/>
      <c r="I14" s="8"/>
      <c r="J14" s="8"/>
      <c r="K14" s="8"/>
      <c r="L14" s="8"/>
      <c r="M14" s="8"/>
      <c r="N14" s="6">
        <f t="shared" ref="N14" si="127">G14/D13</f>
        <v>8.0303901218640016E-3</v>
      </c>
      <c r="O14" s="6">
        <f t="shared" ref="O14" si="128">1-(+N14-1)^12</f>
        <v>9.2220424798634126E-2</v>
      </c>
      <c r="P14" s="20">
        <f t="shared" si="26"/>
        <v>0.10358319033052314</v>
      </c>
      <c r="Q14" s="20">
        <f t="shared" si="92"/>
        <v>7.0598345313359609E-2</v>
      </c>
      <c r="R14" s="40" t="s">
        <v>63</v>
      </c>
      <c r="S14" s="26">
        <f>'[404]Part 8 - 11'!$C$3</f>
        <v>36386810.710000001</v>
      </c>
      <c r="T14" s="26">
        <f>'[404]Part 8 - 11'!$D$3</f>
        <v>375060.62</v>
      </c>
      <c r="U14" s="26">
        <f>'[404]Part 8 - 11'!$E$3</f>
        <v>71676.81</v>
      </c>
      <c r="V14" s="26">
        <f>'[404]Part 8 - 11'!$F$3</f>
        <v>47345.919999999998</v>
      </c>
      <c r="W14" s="26">
        <f>'[404]Part 8 - 11'!$G$3</f>
        <v>54842</v>
      </c>
      <c r="X14" s="26">
        <f>'[404]Part 8 - 11'!$I$3</f>
        <v>0</v>
      </c>
      <c r="Y14" s="26">
        <f>'[404]Part 12 - 13 - Deemed Default'!$L$36</f>
        <v>0</v>
      </c>
      <c r="Z14" s="26">
        <f t="shared" ref="Z14" si="129">Y13+Y14</f>
        <v>0</v>
      </c>
      <c r="AA14" s="4">
        <f t="shared" ref="AA14" si="130">Z14/$D$4</f>
        <v>0</v>
      </c>
      <c r="AB14" s="2">
        <f>'[404]Part 12 - 13 - Deemed Default'!$V$4</f>
        <v>32135730.620000001</v>
      </c>
      <c r="AC14" s="8">
        <f t="shared" ref="AC14" si="131">+AB14/$AB$4</f>
        <v>0.91294689261363637</v>
      </c>
      <c r="AD14" s="2">
        <f t="shared" ref="AD14" si="132">AB14*$AD$2</f>
        <v>27388406.77840909</v>
      </c>
      <c r="AE14" s="2">
        <f>'[404]Part 12 - 13 - Deemed Default'!$V$5</f>
        <v>3835267.73</v>
      </c>
      <c r="AF14" s="8">
        <f t="shared" ref="AF14" si="133">+AE14/$AE$4</f>
        <v>0.9588169325</v>
      </c>
      <c r="AG14" s="2">
        <f>'[404]Part 12 - 13 - Deemed Default'!$V$6</f>
        <v>800000</v>
      </c>
      <c r="AH14" s="8">
        <f t="shared" ref="AH14" si="134">+AG14/$AG$4</f>
        <v>1</v>
      </c>
      <c r="AI14" s="8">
        <f t="shared" ref="AI14" si="135">+AB14/D14</f>
        <v>0.87004440815250939</v>
      </c>
      <c r="AJ14" s="2">
        <f>'[404]Part 5 - 7'!$C$32</f>
        <v>426400.97566412494</v>
      </c>
      <c r="AK14" s="4">
        <f t="shared" ref="AK14" si="136">((+D14+AJ14)-AB14)/D14</f>
        <v>0.1414999935881642</v>
      </c>
      <c r="AL14" s="4">
        <f t="shared" ref="AL14" si="137">+S14/$D14</f>
        <v>0.98513836710582126</v>
      </c>
      <c r="AM14" s="4">
        <f t="shared" ref="AM14" si="138">+T14/$D14</f>
        <v>1.0154410335582195E-2</v>
      </c>
      <c r="AN14" s="4">
        <f t="shared" ref="AN14" si="139">+U14/$D14</f>
        <v>1.9405816059429571E-3</v>
      </c>
      <c r="AO14" s="4">
        <f t="shared" ref="AO14" si="140">+V14/$D14</f>
        <v>1.2818458504005239E-3</v>
      </c>
      <c r="AP14" s="4">
        <f t="shared" ref="AP14" si="141">+W14/$D14</f>
        <v>1.484795102253067E-3</v>
      </c>
      <c r="AQ14" s="4">
        <f t="shared" ref="AQ14" si="142">+X14/$D14</f>
        <v>0</v>
      </c>
      <c r="AR14" s="4">
        <f t="shared" ref="AR14" si="143">+Y14/$D14</f>
        <v>0</v>
      </c>
    </row>
    <row r="15" spans="1:44" x14ac:dyDescent="0.25">
      <c r="A15">
        <f t="shared" si="108"/>
        <v>11</v>
      </c>
      <c r="B15" s="3">
        <f t="shared" si="24"/>
        <v>43848</v>
      </c>
      <c r="C15" s="41">
        <f>'[405]Part 1'!$C$17</f>
        <v>781</v>
      </c>
      <c r="D15" s="2">
        <f>'[405]Part 1'!$C$21</f>
        <v>36548202.689999998</v>
      </c>
      <c r="E15" s="32">
        <f>'[405]Part 1'!$E$25</f>
        <v>7.5499999999999998E-2</v>
      </c>
      <c r="F15" s="8">
        <f t="shared" si="109"/>
        <v>0.9137049429861277</v>
      </c>
      <c r="G15" s="2">
        <f>'[405]Part 2 - 3'!$C$49</f>
        <v>308702.3</v>
      </c>
      <c r="H15" s="8"/>
      <c r="I15" s="8"/>
      <c r="J15" s="8"/>
      <c r="K15" s="8"/>
      <c r="L15" s="8"/>
      <c r="M15" s="8"/>
      <c r="N15" s="6">
        <f t="shared" ref="N15" si="144">G15/D14</f>
        <v>8.3578217988814589E-3</v>
      </c>
      <c r="O15" s="6">
        <f t="shared" ref="O15" si="145">1-(+N15-1)^12</f>
        <v>9.5809608516270628E-2</v>
      </c>
      <c r="P15" s="20">
        <f t="shared" si="26"/>
        <v>9.2892673251245103E-2</v>
      </c>
      <c r="Q15" s="20">
        <f t="shared" si="92"/>
        <v>8.6550897561704476E-2</v>
      </c>
      <c r="R15" s="40" t="s">
        <v>63</v>
      </c>
      <c r="S15" s="26">
        <f>'[405]Part 8 - 11'!$C$3</f>
        <v>35934841.270000003</v>
      </c>
      <c r="T15" s="26">
        <f>'[405]Part 8 - 11'!$D$3</f>
        <v>440817.47</v>
      </c>
      <c r="U15" s="26">
        <f>'[405]Part 8 - 11'!$E$3</f>
        <v>81829.72</v>
      </c>
      <c r="V15" s="26">
        <f>'[405]Part 8 - 11'!$F$3</f>
        <v>11975.39</v>
      </c>
      <c r="W15" s="26">
        <f>'[405]Part 8 - 11'!$G$3</f>
        <v>23896.84</v>
      </c>
      <c r="X15" s="26">
        <f>'[405]Part 8 - 11'!$I$3</f>
        <v>54842</v>
      </c>
      <c r="Y15" s="26">
        <f>'[405]Part 12 - 13 - Deemed Default'!$L$36</f>
        <v>0</v>
      </c>
      <c r="Z15" s="26">
        <f t="shared" ref="Z15" si="146">Y14+Y15</f>
        <v>0</v>
      </c>
      <c r="AA15" s="4">
        <f t="shared" ref="AA15" si="147">Z15/$D$4</f>
        <v>0</v>
      </c>
      <c r="AB15" s="2">
        <f>'[405]Part 12 - 13 - Deemed Default'!$V$4</f>
        <v>31748197.25</v>
      </c>
      <c r="AC15" s="8">
        <f t="shared" ref="AC15" si="148">+AB15/$AB$4</f>
        <v>0.90193742187500003</v>
      </c>
      <c r="AD15" s="2">
        <f t="shared" ref="AD15" si="149">AB15*$AD$2</f>
        <v>27058122.656249996</v>
      </c>
      <c r="AE15" s="2">
        <f>'[405]Part 12 - 13 - Deemed Default'!$V$5</f>
        <v>3803389.6</v>
      </c>
      <c r="AF15" s="8">
        <f t="shared" ref="AF15" si="150">+AE15/$AE$4</f>
        <v>0.95084740000000001</v>
      </c>
      <c r="AG15" s="2">
        <f>'[405]Part 12 - 13 - Deemed Default'!$V$6</f>
        <v>800000</v>
      </c>
      <c r="AH15" s="8">
        <f t="shared" ref="AH15" si="151">+AG15/$AG$4</f>
        <v>1</v>
      </c>
      <c r="AI15" s="8">
        <f t="shared" ref="AI15" si="152">+AB15/D15</f>
        <v>0.86866644358100453</v>
      </c>
      <c r="AJ15" s="2">
        <f>'[405]Part 5 - 7'!$C$32</f>
        <v>421258.89226093754</v>
      </c>
      <c r="AK15" s="4">
        <f t="shared" ref="AK15" si="153">((+D15+AJ15)-AB15)/D15</f>
        <v>0.14285967429226099</v>
      </c>
      <c r="AL15" s="4">
        <f t="shared" ref="AL15" si="154">+S15/$D15</f>
        <v>0.98321774054930977</v>
      </c>
      <c r="AM15" s="4">
        <f t="shared" ref="AM15" si="155">+T15/$D15</f>
        <v>1.2061262594469867E-2</v>
      </c>
      <c r="AN15" s="4">
        <f t="shared" ref="AN15" si="156">+U15/$D15</f>
        <v>2.2389533267634398E-3</v>
      </c>
      <c r="AO15" s="4">
        <f t="shared" ref="AO15" si="157">+V15/$D15</f>
        <v>3.276601616110825E-4</v>
      </c>
      <c r="AP15" s="4">
        <f t="shared" ref="AP15" si="158">+W15/$D15</f>
        <v>6.5384446405454696E-4</v>
      </c>
      <c r="AQ15" s="4">
        <f t="shared" ref="AQ15" si="159">+X15/$D15</f>
        <v>1.5005389037914413E-3</v>
      </c>
      <c r="AR15" s="4">
        <f t="shared" ref="AR15" si="160">+Y15/$D15</f>
        <v>0</v>
      </c>
    </row>
    <row r="16" spans="1:44" x14ac:dyDescent="0.25">
      <c r="A16">
        <f t="shared" si="108"/>
        <v>12</v>
      </c>
      <c r="B16" s="3">
        <f t="shared" si="24"/>
        <v>43879</v>
      </c>
      <c r="C16" s="41">
        <f>'[406]Part 1'!$C$17</f>
        <v>776</v>
      </c>
      <c r="D16" s="2">
        <f>'[406]Part 1'!$C$21</f>
        <v>36304212.590000004</v>
      </c>
      <c r="E16" s="32">
        <f>'[406]Part 1'!$E$25</f>
        <v>7.5499999999999998E-2</v>
      </c>
      <c r="F16" s="8">
        <f t="shared" si="109"/>
        <v>0.90760519131569417</v>
      </c>
      <c r="G16" s="2">
        <f>'[406]Part 2 - 3'!$C$49</f>
        <v>157593.79999999999</v>
      </c>
      <c r="H16" s="8"/>
      <c r="I16" s="8"/>
      <c r="J16" s="8"/>
      <c r="K16" s="8"/>
      <c r="L16" s="8"/>
      <c r="M16" s="8"/>
      <c r="N16" s="6">
        <f t="shared" ref="N16" si="161">G16/D15</f>
        <v>4.3119439097102146E-3</v>
      </c>
      <c r="O16" s="6">
        <f t="shared" ref="O16" si="162">1-(+N16-1)^12</f>
        <v>5.0533665895449165E-2</v>
      </c>
      <c r="P16" s="20">
        <f t="shared" si="26"/>
        <v>7.9521233070117978E-2</v>
      </c>
      <c r="Q16" s="20">
        <f t="shared" si="92"/>
        <v>8.0368568373544488E-2</v>
      </c>
      <c r="R16" s="17">
        <f t="shared" ref="R16:R23" si="163">AVERAGE(O5:O16)</f>
        <v>5.2238628702814795E-2</v>
      </c>
      <c r="S16" s="26">
        <f>'[406]Part 8 - 11'!$C$3</f>
        <v>35823300.380000003</v>
      </c>
      <c r="T16" s="26">
        <f>'[406]Part 8 - 11'!$D$3</f>
        <v>321831.86</v>
      </c>
      <c r="U16" s="26">
        <f>'[406]Part 8 - 11'!$E$3</f>
        <v>135183.51</v>
      </c>
      <c r="V16" s="26">
        <f>'[406]Part 8 - 11'!$F$3</f>
        <v>23896.84</v>
      </c>
      <c r="W16" s="26">
        <f>'[406]Part 8 - 11'!$G$3</f>
        <v>0</v>
      </c>
      <c r="X16" s="26">
        <f>'[406]Part 8 - 11'!$I$3</f>
        <v>0</v>
      </c>
      <c r="Y16" s="26">
        <f>'[406]Part 12 - 13 - Deemed Default'!$L$36</f>
        <v>0</v>
      </c>
      <c r="Z16" s="26">
        <f t="shared" ref="Z16" si="164">Y15+Y16</f>
        <v>0</v>
      </c>
      <c r="AA16" s="4">
        <f t="shared" ref="AA16" si="165">Z16/$D$4</f>
        <v>0</v>
      </c>
      <c r="AB16" s="2">
        <f>'[406]Part 12 - 13 - Deemed Default'!$V$4</f>
        <v>31504207.149999999</v>
      </c>
      <c r="AC16" s="8">
        <f t="shared" ref="AC16" si="166">+AB16/$AB$4</f>
        <v>0.89500588494318178</v>
      </c>
      <c r="AD16" s="2">
        <f t="shared" ref="AD16" si="167">AB16*$AD$2</f>
        <v>26850176.548295449</v>
      </c>
      <c r="AE16" s="2">
        <f>'[406]Part 12 - 13 - Deemed Default'!$V$5</f>
        <v>3763632.67</v>
      </c>
      <c r="AF16" s="8">
        <f t="shared" ref="AF16" si="168">+AE16/$AE$4</f>
        <v>0.94090816749999995</v>
      </c>
      <c r="AG16" s="2">
        <f>'[406]Part 12 - 13 - Deemed Default'!$V$6</f>
        <v>800000</v>
      </c>
      <c r="AH16" s="8">
        <f t="shared" ref="AH16" si="169">+AG16/$AG$4</f>
        <v>1</v>
      </c>
      <c r="AI16" s="8">
        <f t="shared" ref="AI16" si="170">+AB16/D16</f>
        <v>0.86778378877931739</v>
      </c>
      <c r="AJ16" s="2">
        <f>'[406]Part 5 - 7'!$C$32</f>
        <v>418021.44862156245</v>
      </c>
      <c r="AK16" s="4">
        <f t="shared" ref="AK16" si="171">((+D16+AJ16)-AB16)/D16</f>
        <v>0.14373061736804821</v>
      </c>
      <c r="AL16" s="4">
        <f t="shared" ref="AL16" si="172">+S16/$D16</f>
        <v>0.98675326702630461</v>
      </c>
      <c r="AM16" s="4">
        <f t="shared" ref="AM16" si="173">+T16/$D16</f>
        <v>8.8648626988441712E-3</v>
      </c>
      <c r="AN16" s="4">
        <f t="shared" ref="AN16" si="174">+U16/$D16</f>
        <v>3.723631511491212E-3</v>
      </c>
      <c r="AO16" s="4">
        <f t="shared" ref="AO16" si="175">+V16/$D16</f>
        <v>6.5823876335999599E-4</v>
      </c>
      <c r="AP16" s="4">
        <f t="shared" ref="AP16" si="176">+W16/$D16</f>
        <v>0</v>
      </c>
      <c r="AQ16" s="4">
        <f t="shared" ref="AQ16" si="177">+X16/$D16</f>
        <v>0</v>
      </c>
      <c r="AR16" s="4">
        <f t="shared" ref="AR16" si="178">+Y16/$D16</f>
        <v>0</v>
      </c>
    </row>
    <row r="17" spans="1:44" x14ac:dyDescent="0.25">
      <c r="A17">
        <f t="shared" si="108"/>
        <v>13</v>
      </c>
      <c r="B17" s="3">
        <f t="shared" si="24"/>
        <v>43910</v>
      </c>
      <c r="C17" s="41">
        <f>'[407]Part 1'!$C$17</f>
        <v>769</v>
      </c>
      <c r="D17" s="2">
        <f>'[407]Part 1'!$C$21</f>
        <v>35996666.710000001</v>
      </c>
      <c r="E17" s="32">
        <f>'[407]Part 1'!$E$25</f>
        <v>7.5499999999999998E-2</v>
      </c>
      <c r="F17" s="8">
        <f t="shared" si="109"/>
        <v>0.89991654536134991</v>
      </c>
      <c r="G17" s="2">
        <f>'[407]Part 2 - 3'!$C$49</f>
        <v>185585.52</v>
      </c>
      <c r="H17" s="8"/>
      <c r="I17" s="8"/>
      <c r="J17" s="8"/>
      <c r="K17" s="8"/>
      <c r="L17" s="8"/>
      <c r="M17" s="8"/>
      <c r="N17" s="6">
        <f t="shared" ref="N17" si="179">G17/D16</f>
        <v>5.111955521412948E-3</v>
      </c>
      <c r="O17" s="6">
        <f t="shared" ref="O17" si="180">1-(+N17-1)^12</f>
        <v>5.9647802023159557E-2</v>
      </c>
      <c r="P17" s="20">
        <f t="shared" si="26"/>
        <v>6.8663692144959779E-2</v>
      </c>
      <c r="Q17" s="20">
        <f t="shared" si="92"/>
        <v>8.612344123774146E-2</v>
      </c>
      <c r="R17" s="17">
        <f t="shared" si="163"/>
        <v>5.4791062878711494E-2</v>
      </c>
      <c r="S17" s="26">
        <f>'[407]Part 8 - 11'!$C$3</f>
        <v>35394057.670000002</v>
      </c>
      <c r="T17" s="26">
        <f>'[407]Part 8 - 11'!$D$3</f>
        <v>426211.55</v>
      </c>
      <c r="U17" s="26">
        <f>'[407]Part 8 - 11'!$E$3</f>
        <v>96716.66</v>
      </c>
      <c r="V17" s="26">
        <f>'[407]Part 8 - 11'!$F$3</f>
        <v>79680.83</v>
      </c>
      <c r="W17" s="26">
        <f>'[407]Part 8 - 11'!$G$3</f>
        <v>0</v>
      </c>
      <c r="X17" s="26">
        <f>'[407]Part 8 - 11'!$I$3</f>
        <v>0</v>
      </c>
      <c r="Y17" s="26">
        <f>'[407]Part 12 - 13 - Deemed Default'!$L$36</f>
        <v>0</v>
      </c>
      <c r="Z17" s="26">
        <f t="shared" ref="Z17" si="181">Y16+Y17</f>
        <v>0</v>
      </c>
      <c r="AA17" s="4">
        <f t="shared" ref="AA17" si="182">Z17/$D$4</f>
        <v>0</v>
      </c>
      <c r="AB17" s="2">
        <f>'[407]Part 12 - 13 - Deemed Default'!$V$4</f>
        <v>31196661.27</v>
      </c>
      <c r="AC17" s="8">
        <f t="shared" ref="AC17" si="183">+AB17/$AB$4</f>
        <v>0.8862687860795454</v>
      </c>
      <c r="AD17" s="2">
        <f t="shared" ref="AD17" si="184">AB17*$AD$2</f>
        <v>26588063.58238636</v>
      </c>
      <c r="AE17" s="2">
        <f>'[407]Part 12 - 13 - Deemed Default'!$V$5</f>
        <v>3749303.11</v>
      </c>
      <c r="AF17" s="8">
        <f t="shared" ref="AF17" si="185">+AE17/$AE$4</f>
        <v>0.93732577750000001</v>
      </c>
      <c r="AG17" s="2">
        <f>'[407]Part 12 - 13 - Deemed Default'!$V$6</f>
        <v>800000</v>
      </c>
      <c r="AH17" s="8">
        <f t="shared" ref="AH17" si="186">+AG17/$AG$4</f>
        <v>1</v>
      </c>
      <c r="AI17" s="8">
        <f t="shared" ref="AI17" si="187">+AB17/D17</f>
        <v>0.86665416887984958</v>
      </c>
      <c r="AJ17" s="2">
        <f>'[407]Part 5 - 7'!$C$32</f>
        <v>413940.69922631246</v>
      </c>
      <c r="AK17" s="4">
        <f t="shared" ref="AK17" si="188">((+D17+AJ17)-AB17)/D17</f>
        <v>0.14484524862347495</v>
      </c>
      <c r="AL17" s="4">
        <f t="shared" ref="AL17" si="189">+S17/$D17</f>
        <v>0.98325930995625788</v>
      </c>
      <c r="AM17" s="4">
        <f t="shared" ref="AM17" si="190">+T17/$D17</f>
        <v>1.184030603260265E-2</v>
      </c>
      <c r="AN17" s="4">
        <f t="shared" ref="AN17" si="191">+U17/$D17</f>
        <v>2.6868226655311885E-3</v>
      </c>
      <c r="AO17" s="4">
        <f t="shared" ref="AO17" si="192">+V17/$D17</f>
        <v>2.2135613456082696E-3</v>
      </c>
      <c r="AP17" s="4">
        <f t="shared" ref="AP17" si="193">+W17/$D17</f>
        <v>0</v>
      </c>
      <c r="AQ17" s="4">
        <f t="shared" ref="AQ17" si="194">+X17/$D17</f>
        <v>0</v>
      </c>
      <c r="AR17" s="4">
        <f t="shared" ref="AR17" si="195">+Y17/$D17</f>
        <v>0</v>
      </c>
    </row>
    <row r="18" spans="1:44" x14ac:dyDescent="0.25">
      <c r="A18">
        <f t="shared" si="108"/>
        <v>14</v>
      </c>
      <c r="B18" s="3">
        <f t="shared" si="24"/>
        <v>43941</v>
      </c>
      <c r="C18" s="41">
        <f>'[408]Part 1'!$C$17</f>
        <v>768</v>
      </c>
      <c r="D18" s="2">
        <f>'[408]Part 1'!$C$21</f>
        <v>35841507.060000002</v>
      </c>
      <c r="E18" s="32">
        <f>'[408]Part 1'!$E$25</f>
        <v>7.5499999999999998E-2</v>
      </c>
      <c r="F18" s="8">
        <f t="shared" si="109"/>
        <v>0.89603755463889267</v>
      </c>
      <c r="G18" s="2">
        <f>'[408]Part 2 - 3'!$C$49</f>
        <v>277.48</v>
      </c>
      <c r="H18" s="8"/>
      <c r="I18" s="8"/>
      <c r="J18" s="8"/>
      <c r="K18" s="8"/>
      <c r="L18" s="8"/>
      <c r="M18" s="8"/>
      <c r="N18" s="6">
        <f t="shared" ref="N18" si="196">G18/D17</f>
        <v>7.7084915177136418E-6</v>
      </c>
      <c r="O18" s="6">
        <f t="shared" ref="O18" si="197">1-(+N18-1)^12</f>
        <v>9.2497976538652438E-5</v>
      </c>
      <c r="P18" s="20">
        <f t="shared" si="26"/>
        <v>3.6757988631715789E-2</v>
      </c>
      <c r="Q18" s="20">
        <f t="shared" si="92"/>
        <v>6.482533094148045E-2</v>
      </c>
      <c r="R18" s="17">
        <f t="shared" si="163"/>
        <v>5.2472803857631305E-2</v>
      </c>
      <c r="S18" s="26">
        <f>'[408]Part 8 - 11'!$C$3</f>
        <v>35273553.239999995</v>
      </c>
      <c r="T18" s="26">
        <f>'[408]Part 8 - 11'!$D$3</f>
        <v>391556.32</v>
      </c>
      <c r="U18" s="26">
        <f>'[408]Part 8 - 11'!$E$3</f>
        <v>176397.5</v>
      </c>
      <c r="V18" s="26">
        <f>'[408]Part 8 - 11'!$F$3</f>
        <v>0</v>
      </c>
      <c r="W18" s="26">
        <f>'[408]Part 8 - 11'!$G$3</f>
        <v>0</v>
      </c>
      <c r="X18" s="26">
        <f>'[408]Part 8 - 11'!$I$3</f>
        <v>0</v>
      </c>
      <c r="Y18" s="26">
        <f>'[408]Part 12 - 13 - Deemed Default'!$L$36</f>
        <v>0</v>
      </c>
      <c r="Z18" s="26">
        <f t="shared" ref="Z18" si="198">Y17+Y18</f>
        <v>0</v>
      </c>
      <c r="AA18" s="4">
        <f t="shared" ref="AA18" si="199">Z18/$D$4</f>
        <v>0</v>
      </c>
      <c r="AB18" s="2">
        <f>'[408]Part 12 - 13 - Deemed Default'!$V$4</f>
        <v>31041501.620000001</v>
      </c>
      <c r="AC18" s="8">
        <f t="shared" ref="AC18" si="200">+AB18/$AB$4</f>
        <v>0.88186084147727273</v>
      </c>
      <c r="AD18" s="2">
        <f t="shared" ref="AD18" si="201">AB18*$AD$2</f>
        <v>26455825.24431818</v>
      </c>
      <c r="AE18" s="2">
        <f>'[408]Part 12 - 13 - Deemed Default'!$V$5</f>
        <v>3717166.02</v>
      </c>
      <c r="AF18" s="8">
        <f t="shared" ref="AF18" si="202">+AE18/$AE$4</f>
        <v>0.92929150500000002</v>
      </c>
      <c r="AG18" s="2">
        <f>'[408]Part 12 - 13 - Deemed Default'!$V$6</f>
        <v>800000</v>
      </c>
      <c r="AH18" s="8">
        <f t="shared" ref="AH18" si="203">+AG18/$AG$4</f>
        <v>1</v>
      </c>
      <c r="AI18" s="8">
        <f t="shared" ref="AI18" si="204">+AB18/D18</f>
        <v>0.86607690820688388</v>
      </c>
      <c r="AJ18" s="2">
        <f>'[408]Part 5 - 7'!$C$45</f>
        <v>411881.92462037498</v>
      </c>
      <c r="AK18" s="4">
        <f t="shared" ref="AK18" si="205">((+D18+AJ18)-AB18)/D18</f>
        <v>0.14541484976888625</v>
      </c>
      <c r="AL18" s="4">
        <f t="shared" ref="AL18" si="206">+S18/$D18</f>
        <v>0.98415374054865401</v>
      </c>
      <c r="AM18" s="4">
        <f t="shared" ref="AM18" si="207">+T18/$D18</f>
        <v>1.0924661157370428E-2</v>
      </c>
      <c r="AN18" s="4">
        <f t="shared" ref="AN18" si="208">+U18/$D18</f>
        <v>4.9215982939753086E-3</v>
      </c>
      <c r="AO18" s="4">
        <f t="shared" ref="AO18" si="209">+V18/$D18</f>
        <v>0</v>
      </c>
      <c r="AP18" s="4">
        <f t="shared" ref="AP18" si="210">+W18/$D18</f>
        <v>0</v>
      </c>
      <c r="AQ18" s="4">
        <f t="shared" ref="AQ18" si="211">+X18/$D18</f>
        <v>0</v>
      </c>
      <c r="AR18" s="4">
        <f t="shared" ref="AR18" si="212">+Y18/$D18</f>
        <v>0</v>
      </c>
    </row>
    <row r="19" spans="1:44" x14ac:dyDescent="0.25">
      <c r="A19">
        <f t="shared" si="108"/>
        <v>15</v>
      </c>
      <c r="B19" s="3">
        <f t="shared" si="24"/>
        <v>43972</v>
      </c>
      <c r="C19" s="41">
        <f>'[409]Part 1'!$C$17</f>
        <v>768</v>
      </c>
      <c r="D19" s="2">
        <f>'[409]Part 1'!$C$21</f>
        <v>35774914.920000002</v>
      </c>
      <c r="E19" s="32">
        <f>'[409]Part 1'!$E$25</f>
        <v>7.5499999999999998E-2</v>
      </c>
      <c r="F19" s="8">
        <f t="shared" ref="F19" si="213">+D19/D$4</f>
        <v>0.89437275136530592</v>
      </c>
      <c r="G19" s="2">
        <f>'[409]Part 2 - 3'!$C$49</f>
        <v>0</v>
      </c>
      <c r="H19" s="8"/>
      <c r="I19" s="8"/>
      <c r="J19" s="8"/>
      <c r="K19" s="8"/>
      <c r="L19" s="8"/>
      <c r="M19" s="8"/>
      <c r="N19" s="6">
        <f t="shared" ref="N19" si="214">G19/D18</f>
        <v>0</v>
      </c>
      <c r="O19" s="6">
        <f t="shared" ref="O19" si="215">1-(+N19-1)^12</f>
        <v>0</v>
      </c>
      <c r="P19" s="20">
        <f t="shared" si="26"/>
        <v>1.9913433333232738E-2</v>
      </c>
      <c r="Q19" s="20">
        <f t="shared" si="92"/>
        <v>4.9717333201675352E-2</v>
      </c>
      <c r="R19" s="17">
        <f t="shared" si="163"/>
        <v>5.2472803857631305E-2</v>
      </c>
      <c r="S19" s="26">
        <f>'[409]Part 8 - 11'!$C$3</f>
        <v>35228804.729999997</v>
      </c>
      <c r="T19" s="26">
        <f>'[409]Part 8 - 11'!$D$3</f>
        <v>399005.22</v>
      </c>
      <c r="U19" s="26">
        <f>'[409]Part 8 - 11'!$E$3</f>
        <v>106053.6</v>
      </c>
      <c r="V19" s="26">
        <f>'[409]Part 8 - 11'!$F$3</f>
        <v>41051.370000000003</v>
      </c>
      <c r="W19" s="26">
        <f>'[409]Part 8 - 11'!$G$3</f>
        <v>0</v>
      </c>
      <c r="X19" s="26">
        <f>'[409]Part 8 - 11'!$I$3</f>
        <v>0</v>
      </c>
      <c r="Y19" s="26">
        <f>'[409]Part 12 - 13 - Deemed Default'!$L$36</f>
        <v>0</v>
      </c>
      <c r="Z19" s="26">
        <f t="shared" ref="Z19" si="216">Y18+Y19</f>
        <v>0</v>
      </c>
      <c r="AA19" s="4">
        <f t="shared" ref="AA19" si="217">Z19/$D$4</f>
        <v>0</v>
      </c>
      <c r="AB19" s="2">
        <f>'[409]Part 12 - 13 - Deemed Default'!$V$4</f>
        <v>30974909.48</v>
      </c>
      <c r="AC19" s="8">
        <f t="shared" ref="AC19" si="218">+AB19/$AB$4</f>
        <v>0.87996901931818183</v>
      </c>
      <c r="AD19" s="2">
        <f t="shared" ref="AD19" si="219">AB19*$AD$2</f>
        <v>26399070.579545453</v>
      </c>
      <c r="AE19" s="2">
        <f>'[409]Part 12 - 13 - Deemed Default'!$V$5</f>
        <v>3683588.44</v>
      </c>
      <c r="AF19" s="8">
        <f t="shared" ref="AF19" si="220">+AE19/$AE$4</f>
        <v>0.92089710999999996</v>
      </c>
      <c r="AG19" s="2">
        <f>'[409]Part 12 - 13 - Deemed Default'!$V$6</f>
        <v>800000</v>
      </c>
      <c r="AH19" s="8">
        <f t="shared" ref="AH19" si="221">+AG19/$AG$4</f>
        <v>1</v>
      </c>
      <c r="AI19" s="8">
        <f t="shared" ref="AI19" si="222">+AB19/D19</f>
        <v>0.86582762109333333</v>
      </c>
      <c r="AJ19" s="2">
        <f>'[409]Part 5 - 7'!$C$45</f>
        <v>410998.33016274997</v>
      </c>
      <c r="AK19" s="4">
        <f t="shared" ref="AK19" si="223">((+D19+AJ19)-AB19)/D19</f>
        <v>0.14566082915404877</v>
      </c>
      <c r="AL19" s="4">
        <f t="shared" ref="AL19" si="224">+S19/$D19</f>
        <v>0.98473482910522026</v>
      </c>
      <c r="AM19" s="4">
        <f t="shared" ref="AM19" si="225">+T19/$D19</f>
        <v>1.1153212268771482E-2</v>
      </c>
      <c r="AN19" s="4">
        <f t="shared" ref="AN19" si="226">+U19/$D19</f>
        <v>2.9644682660226436E-3</v>
      </c>
      <c r="AO19" s="4">
        <f t="shared" ref="AO19" si="227">+V19/$D19</f>
        <v>1.14749035998546E-3</v>
      </c>
      <c r="AP19" s="4">
        <f t="shared" ref="AP19" si="228">+W19/$D19</f>
        <v>0</v>
      </c>
      <c r="AQ19" s="4">
        <f t="shared" ref="AQ19" si="229">+X19/$D19</f>
        <v>0</v>
      </c>
      <c r="AR19" s="4">
        <f t="shared" ref="AR19" si="230">+Y19/$D19</f>
        <v>0</v>
      </c>
    </row>
    <row r="20" spans="1:44" x14ac:dyDescent="0.25">
      <c r="A20">
        <f t="shared" si="108"/>
        <v>16</v>
      </c>
      <c r="B20" s="3">
        <f t="shared" si="24"/>
        <v>44003</v>
      </c>
      <c r="C20" s="41">
        <f>'[410]Part 1'!$C$17</f>
        <v>768</v>
      </c>
      <c r="D20" s="2">
        <f>'[410]Part 1'!$C$21</f>
        <v>35704808.560000002</v>
      </c>
      <c r="E20" s="32">
        <f>'[410]Part 1'!$E$25</f>
        <v>7.5499999999999998E-2</v>
      </c>
      <c r="F20" s="8">
        <f t="shared" ref="F20" si="231">+D20/D$4</f>
        <v>0.89262009260366748</v>
      </c>
      <c r="G20" s="2">
        <f>'[410]Part 2 - 3'!$C$49</f>
        <v>0</v>
      </c>
      <c r="H20" s="8"/>
      <c r="I20" s="8"/>
      <c r="J20" s="8"/>
      <c r="K20" s="8"/>
      <c r="L20" s="8"/>
      <c r="M20" s="8"/>
      <c r="N20" s="6">
        <f t="shared" ref="N20" si="232">G20/D19</f>
        <v>0</v>
      </c>
      <c r="O20" s="6">
        <f t="shared" ref="O20" si="233">1-(+N20-1)^12</f>
        <v>0</v>
      </c>
      <c r="P20" s="20">
        <f t="shared" si="26"/>
        <v>3.0832658846217477E-5</v>
      </c>
      <c r="Q20" s="20">
        <f t="shared" si="92"/>
        <v>3.4347262401903E-2</v>
      </c>
      <c r="R20" s="17">
        <f t="shared" si="163"/>
        <v>5.2472803857631305E-2</v>
      </c>
      <c r="S20" s="26">
        <f>'[410]Part 8 - 11'!$C$3</f>
        <v>35070419.439999998</v>
      </c>
      <c r="T20" s="26">
        <f>'[410]Part 8 - 11'!$D$3</f>
        <v>487284.15</v>
      </c>
      <c r="U20" s="26">
        <f>'[410]Part 8 - 11'!$E$3</f>
        <v>106053.6</v>
      </c>
      <c r="V20" s="26">
        <f>'[410]Part 8 - 11'!$F$3</f>
        <v>17154.52</v>
      </c>
      <c r="W20" s="26">
        <f>'[410]Part 8 - 11'!$G$3</f>
        <v>23896.85</v>
      </c>
      <c r="X20" s="26">
        <f>'[410]Part 8 - 11'!$I$3</f>
        <v>0</v>
      </c>
      <c r="Y20" s="26">
        <f>'[410]Part 12 - 13 - Deemed Default'!$L$36</f>
        <v>0</v>
      </c>
      <c r="Z20" s="26">
        <f t="shared" ref="Z20:Z26" si="234">Y19+Y20</f>
        <v>0</v>
      </c>
      <c r="AA20" s="4">
        <f t="shared" ref="AA20" si="235">Z20/$D$4</f>
        <v>0</v>
      </c>
      <c r="AB20" s="2">
        <f>'[410]Part 12 - 13 - Deemed Default'!$V$4</f>
        <v>30904803.120000001</v>
      </c>
      <c r="AC20" s="8">
        <f t="shared" ref="AC20" si="236">+AB20/$AB$4</f>
        <v>0.87797736136363635</v>
      </c>
      <c r="AD20" s="2">
        <f t="shared" ref="AD20" si="237">AB20*$AD$2</f>
        <v>26339320.84090909</v>
      </c>
      <c r="AE20" s="2">
        <f>'[410]Part 12 - 13 - Deemed Default'!$V$5</f>
        <v>3661008.12</v>
      </c>
      <c r="AF20" s="8">
        <f t="shared" ref="AF20" si="238">+AE20/$AE$4</f>
        <v>0.91525202999999999</v>
      </c>
      <c r="AG20" s="2">
        <f>'[410]Part 12 - 13 - Deemed Default'!$V$6</f>
        <v>800000</v>
      </c>
      <c r="AH20" s="8">
        <f t="shared" ref="AH20" si="239">+AG20/$AG$4</f>
        <v>1</v>
      </c>
      <c r="AI20" s="8">
        <f t="shared" ref="AI20" si="240">+AB20/D20</f>
        <v>0.86556417374612582</v>
      </c>
      <c r="AJ20" s="2">
        <f>'[410]Part 5 - 7'!$C$45</f>
        <v>410068.10639849998</v>
      </c>
      <c r="AK20" s="4">
        <f t="shared" ref="AK20" si="241">((+D20+AJ20)-AB20)/D20</f>
        <v>0.14592078088426813</v>
      </c>
      <c r="AL20" s="4">
        <f t="shared" ref="AL20" si="242">+S20/$D20</f>
        <v>0.98223238982127725</v>
      </c>
      <c r="AM20" s="4">
        <f t="shared" ref="AM20" si="243">+T20/$D20</f>
        <v>1.3647577725592488E-2</v>
      </c>
      <c r="AN20" s="4">
        <f t="shared" ref="AN20" si="244">+U20/$D20</f>
        <v>2.9702889968386934E-3</v>
      </c>
      <c r="AO20" s="4">
        <f t="shared" ref="AO20" si="245">+V20/$D20</f>
        <v>4.8045405344136646E-4</v>
      </c>
      <c r="AP20" s="4">
        <f t="shared" ref="AP20" si="246">+W20/$D20</f>
        <v>6.6928940285011286E-4</v>
      </c>
      <c r="AQ20" s="4">
        <f t="shared" ref="AQ20" si="247">+X20/$D20</f>
        <v>0</v>
      </c>
      <c r="AR20" s="4">
        <f t="shared" ref="AR20" si="248">+Y20/$D20</f>
        <v>0</v>
      </c>
    </row>
    <row r="21" spans="1:44" x14ac:dyDescent="0.25">
      <c r="A21">
        <f t="shared" si="108"/>
        <v>17</v>
      </c>
      <c r="B21" s="3">
        <f t="shared" si="24"/>
        <v>44034</v>
      </c>
      <c r="C21" s="41">
        <f>'[411]Part 1'!$C$17</f>
        <v>764</v>
      </c>
      <c r="D21" s="2">
        <f>'[411]Part 1'!$C$21</f>
        <v>35391377.719999999</v>
      </c>
      <c r="E21" s="32">
        <f>'[411]Part 1'!$E$25</f>
        <v>7.5499999999999998E-2</v>
      </c>
      <c r="F21" s="8">
        <f t="shared" ref="F21" si="249">+D21/D$4</f>
        <v>0.88478432266933216</v>
      </c>
      <c r="G21" s="2">
        <f>'[411]Part 2 - 3'!$C$49</f>
        <v>115946.85</v>
      </c>
      <c r="H21" s="8"/>
      <c r="I21" s="8"/>
      <c r="J21" s="8"/>
      <c r="K21" s="8"/>
      <c r="L21" s="8"/>
      <c r="M21" s="8"/>
      <c r="N21" s="6">
        <f t="shared" ref="N21" si="250">G21/D20</f>
        <v>3.2473735240775088E-3</v>
      </c>
      <c r="O21" s="6">
        <f t="shared" ref="O21" si="251">1-(+N21-1)^12</f>
        <v>3.8279962722147842E-2</v>
      </c>
      <c r="P21" s="20">
        <f t="shared" si="26"/>
        <v>1.2759987574049281E-2</v>
      </c>
      <c r="Q21" s="20">
        <f t="shared" si="92"/>
        <v>2.4758988102882535E-2</v>
      </c>
      <c r="R21" s="17">
        <f t="shared" si="163"/>
        <v>5.5654942832293504E-2</v>
      </c>
      <c r="S21" s="26">
        <f>'[411]Part 8 - 11'!$C$3</f>
        <v>34757255.270000003</v>
      </c>
      <c r="T21" s="26">
        <f>'[411]Part 8 - 11'!$D$3</f>
        <v>409923.95</v>
      </c>
      <c r="U21" s="26">
        <f>'[411]Part 8 - 11'!$E$3</f>
        <v>84578.65</v>
      </c>
      <c r="V21" s="26">
        <f>'[411]Part 8 - 11'!$F$3</f>
        <v>115723</v>
      </c>
      <c r="W21" s="26">
        <f>'[411]Part 8 - 11'!$G$3</f>
        <v>23896.85</v>
      </c>
      <c r="X21" s="26">
        <f>'[411]Part 8 - 11'!$I$3</f>
        <v>0</v>
      </c>
      <c r="Y21" s="26">
        <f>'[411]Part 12 - 13 - Deemed Default'!$L$36</f>
        <v>0</v>
      </c>
      <c r="Z21" s="26">
        <f>Y20+Y21</f>
        <v>0</v>
      </c>
      <c r="AA21" s="4">
        <f t="shared" ref="AA21" si="252">Z21/$D$4</f>
        <v>0</v>
      </c>
      <c r="AB21" s="2">
        <f>'[411]Part 12 - 13 - Deemed Default'!$V$4</f>
        <v>30591372.280000001</v>
      </c>
      <c r="AC21" s="8">
        <f t="shared" ref="AC21" si="253">+AB21/$AB$4</f>
        <v>0.86907307613636364</v>
      </c>
      <c r="AD21" s="2">
        <f t="shared" ref="AD21" si="254">AB21*$AD$2</f>
        <v>26072192.284090906</v>
      </c>
      <c r="AE21" s="2">
        <f>'[411]Part 12 - 13 - Deemed Default'!$V$5</f>
        <v>3606170.04</v>
      </c>
      <c r="AF21" s="8">
        <f t="shared" ref="AF21" si="255">+AE21/$AE$4</f>
        <v>0.90154250999999996</v>
      </c>
      <c r="AG21" s="2">
        <f>'[411]Part 12 - 13 - Deemed Default'!$V$6</f>
        <v>800000</v>
      </c>
      <c r="AH21" s="8">
        <f t="shared" ref="AH21" si="256">+AG21/$AG$4</f>
        <v>1</v>
      </c>
      <c r="AI21" s="8">
        <f t="shared" ref="AI21" si="257">+AB21/D21</f>
        <v>0.86437359183992801</v>
      </c>
      <c r="AJ21" s="2">
        <f>'[411]Part 5 - 7'!$C$45</f>
        <v>405909.27094025002</v>
      </c>
      <c r="AK21" s="4">
        <f t="shared" ref="AK21" si="258">((+D21+AJ21)-AB21)/D21</f>
        <v>0.14709556525679807</v>
      </c>
      <c r="AL21" s="4">
        <f t="shared" ref="AL21" si="259">+S21/$D21</f>
        <v>0.98208257234242546</v>
      </c>
      <c r="AM21" s="4">
        <f t="shared" ref="AM21" si="260">+T21/$D21</f>
        <v>1.1582593739162298E-2</v>
      </c>
      <c r="AN21" s="4">
        <f t="shared" ref="AN21" si="261">+U21/$D21</f>
        <v>2.3898094804092299E-3</v>
      </c>
      <c r="AO21" s="4">
        <f t="shared" ref="AO21" si="262">+V21/$D21</f>
        <v>3.2698077174487571E-3</v>
      </c>
      <c r="AP21" s="4">
        <f t="shared" ref="AP21" si="263">+W21/$D21</f>
        <v>6.7521672055438707E-4</v>
      </c>
      <c r="AQ21" s="4">
        <f t="shared" ref="AQ21" si="264">+X21/$D21</f>
        <v>0</v>
      </c>
      <c r="AR21" s="4">
        <f t="shared" ref="AR21" si="265">+Y21/$D21</f>
        <v>0</v>
      </c>
    </row>
    <row r="22" spans="1:44" x14ac:dyDescent="0.25">
      <c r="A22">
        <f t="shared" si="108"/>
        <v>18</v>
      </c>
      <c r="B22" s="3">
        <f t="shared" si="24"/>
        <v>44065</v>
      </c>
      <c r="C22" s="41">
        <f>'[412]Part 1'!$C$17</f>
        <v>764</v>
      </c>
      <c r="D22" s="2">
        <f>'[412]Part 1'!$C$21</f>
        <v>35391377.719999999</v>
      </c>
      <c r="E22" s="32">
        <f>'[412]Part 1'!$E$25</f>
        <v>7.5499999999999998E-2</v>
      </c>
      <c r="F22" s="8">
        <f t="shared" ref="F22" si="266">+D22/D$4</f>
        <v>0.88478432266933216</v>
      </c>
      <c r="G22" s="2">
        <f>'[412]Part 2 - 3'!$C$49</f>
        <v>115946.85</v>
      </c>
      <c r="H22" s="8"/>
      <c r="I22" s="8"/>
      <c r="J22" s="8"/>
      <c r="K22" s="8"/>
      <c r="L22" s="8"/>
      <c r="M22" s="8"/>
      <c r="N22" s="6">
        <f t="shared" ref="N22" si="267">G22/D21</f>
        <v>3.2761327043359873E-3</v>
      </c>
      <c r="O22" s="6">
        <f t="shared" ref="O22" si="268">1-(+N22-1)^12</f>
        <v>3.86128905577936E-2</v>
      </c>
      <c r="P22" s="20">
        <f t="shared" si="26"/>
        <v>2.5630951093313814E-2</v>
      </c>
      <c r="Q22" s="20">
        <f t="shared" si="92"/>
        <v>2.2772192213273274E-2</v>
      </c>
      <c r="R22" s="17">
        <f t="shared" si="163"/>
        <v>5.157038029340888E-2</v>
      </c>
      <c r="S22" s="26">
        <f>'[412]Part 8 - 11'!$C$3</f>
        <v>34757255.270000003</v>
      </c>
      <c r="T22" s="26">
        <f>'[412]Part 8 - 11'!$D$3</f>
        <v>409923.95</v>
      </c>
      <c r="U22" s="26">
        <f>'[412]Part 8 - 11'!$E$3</f>
        <v>84578.65</v>
      </c>
      <c r="V22" s="26">
        <f>'[412]Part 8 - 11'!$F$3</f>
        <v>115723</v>
      </c>
      <c r="W22" s="26">
        <f>'[412]Part 8 - 11'!$G$3</f>
        <v>23896.85</v>
      </c>
      <c r="X22" s="26">
        <f>'[412]Part 8 - 11'!$I$3</f>
        <v>0</v>
      </c>
      <c r="Y22" s="26">
        <f>'[412]Part 12 - 13 - Deemed Default'!$L$36</f>
        <v>0</v>
      </c>
      <c r="Z22" s="26">
        <f t="shared" si="234"/>
        <v>0</v>
      </c>
      <c r="AA22" s="4">
        <f t="shared" ref="AA22" si="269">Z22/$D$4</f>
        <v>0</v>
      </c>
      <c r="AB22" s="2">
        <f>'[413]Part 12 - 13 - Deemed Default'!$V$4</f>
        <v>30591372.280000001</v>
      </c>
      <c r="AC22" s="8">
        <f t="shared" ref="AC22" si="270">+AB22/$AB$4</f>
        <v>0.86907307613636364</v>
      </c>
      <c r="AD22" s="2">
        <f t="shared" ref="AD22" si="271">AB22*$AD$2</f>
        <v>26072192.284090906</v>
      </c>
      <c r="AE22" s="2">
        <f>'[412]Part 12 - 13 - Deemed Default'!$V$5</f>
        <v>3606170.04</v>
      </c>
      <c r="AF22" s="8">
        <f t="shared" ref="AF22" si="272">+AE22/$AE$4</f>
        <v>0.90154250999999996</v>
      </c>
      <c r="AG22" s="2">
        <f>'[412]Part 12 - 13 - Deemed Default'!$V$6</f>
        <v>800000</v>
      </c>
      <c r="AH22" s="8">
        <f t="shared" ref="AH22" si="273">+AG22/$AG$4</f>
        <v>1</v>
      </c>
      <c r="AI22" s="8">
        <f t="shared" ref="AI22" si="274">+AB22/D22</f>
        <v>0.86437359183992801</v>
      </c>
      <c r="AJ22" s="2">
        <f>'[412]Part 5 - 7'!$C$45</f>
        <v>405909.27094025002</v>
      </c>
      <c r="AK22" s="4">
        <f t="shared" ref="AK22" si="275">((+D22+AJ22)-AB22)/D22</f>
        <v>0.14709556525679807</v>
      </c>
      <c r="AL22" s="4">
        <f t="shared" ref="AL22" si="276">+S22/$D22</f>
        <v>0.98208257234242546</v>
      </c>
      <c r="AM22" s="4">
        <f t="shared" ref="AM22" si="277">+T22/$D22</f>
        <v>1.1582593739162298E-2</v>
      </c>
      <c r="AN22" s="4">
        <f t="shared" ref="AN22" si="278">+U22/$D22</f>
        <v>2.3898094804092299E-3</v>
      </c>
      <c r="AO22" s="4">
        <f t="shared" ref="AO22" si="279">+V22/$D22</f>
        <v>3.2698077174487571E-3</v>
      </c>
      <c r="AP22" s="4">
        <f t="shared" ref="AP22" si="280">+W22/$D22</f>
        <v>6.7521672055438707E-4</v>
      </c>
      <c r="AQ22" s="4">
        <f t="shared" ref="AQ22" si="281">+X22/$D22</f>
        <v>0</v>
      </c>
      <c r="AR22" s="4">
        <f t="shared" ref="AR22" si="282">+Y22/$D22</f>
        <v>0</v>
      </c>
    </row>
    <row r="23" spans="1:44" x14ac:dyDescent="0.25">
      <c r="A23">
        <f t="shared" si="108"/>
        <v>19</v>
      </c>
      <c r="B23" s="3">
        <f t="shared" si="24"/>
        <v>44096</v>
      </c>
      <c r="C23" s="41">
        <f>'[414]Part 1'!$C$17</f>
        <v>0</v>
      </c>
      <c r="D23" s="2">
        <f>'[414]Part 1'!$C$21</f>
        <v>34502824.859999999</v>
      </c>
      <c r="E23" s="32">
        <f>'[414]Part 1'!$E$25</f>
        <v>7.5499999999999998E-2</v>
      </c>
      <c r="F23" s="8">
        <f t="shared" ref="F23" si="283">+D23/D$4</f>
        <v>0.86257050419041148</v>
      </c>
      <c r="G23" s="2">
        <f>'[414]Part 2 - 3'!$C$49</f>
        <v>244529.79</v>
      </c>
      <c r="H23" s="8"/>
      <c r="I23" s="8"/>
      <c r="J23" s="8"/>
      <c r="K23" s="8"/>
      <c r="L23" s="8"/>
      <c r="M23" s="8"/>
      <c r="N23" s="6">
        <f t="shared" ref="N23" si="284">G23/D22</f>
        <v>6.9093040665047052E-3</v>
      </c>
      <c r="O23" s="6">
        <f t="shared" ref="O23" si="285">1-(+N23-1)^12</f>
        <v>7.9832357957692501E-2</v>
      </c>
      <c r="P23" s="20">
        <f t="shared" si="26"/>
        <v>5.2241737079211314E-2</v>
      </c>
      <c r="Q23" s="20">
        <f t="shared" si="92"/>
        <v>2.6136284869028765E-2</v>
      </c>
      <c r="R23" s="17">
        <f t="shared" si="163"/>
        <v>5.6129863053385111E-2</v>
      </c>
      <c r="S23" s="26">
        <f>'[414]Part 8 - 11'!$C$3</f>
        <v>33564950.259999998</v>
      </c>
      <c r="T23" s="26">
        <f>'[414]Part 8 - 11'!$D$3</f>
        <v>0</v>
      </c>
      <c r="U23" s="26">
        <f>'[414]Part 8 - 11'!$E$3</f>
        <v>0</v>
      </c>
      <c r="V23" s="26">
        <f>'[414]Part 8 - 11'!$F$3</f>
        <v>0</v>
      </c>
      <c r="W23" s="26">
        <f>'[414]Part 8 - 11'!$G$3</f>
        <v>0</v>
      </c>
      <c r="X23" s="26">
        <f>'[414]Part 8 - 11'!$I$3</f>
        <v>0</v>
      </c>
      <c r="Y23" s="26">
        <f>'[414]Part 12 - 13 - Deemed Default'!$L$36</f>
        <v>0</v>
      </c>
      <c r="Z23" s="26">
        <f t="shared" si="234"/>
        <v>0</v>
      </c>
      <c r="AA23" s="4">
        <f t="shared" ref="AA23" si="286">Z23/$D$4</f>
        <v>0</v>
      </c>
      <c r="AB23" s="2">
        <f>'[414]Part 12 - 13 - Deemed Default'!$V$4</f>
        <v>29702819.419999998</v>
      </c>
      <c r="AC23" s="8">
        <f t="shared" ref="AC23" si="287">+AB23/$AB$4</f>
        <v>0.84383009715909085</v>
      </c>
      <c r="AD23" s="2">
        <f t="shared" ref="AD23" si="288">AB23*$AD$2</f>
        <v>25314902.914772723</v>
      </c>
      <c r="AE23" s="2">
        <f>'[414]Part 12 - 13 - Deemed Default'!$V$5</f>
        <v>0</v>
      </c>
      <c r="AF23" s="8">
        <f t="shared" ref="AF23" si="289">+AE23/$AE$4</f>
        <v>0</v>
      </c>
      <c r="AG23" s="2">
        <f>'[414]Part 12 - 13 - Deemed Default'!$V$6</f>
        <v>0</v>
      </c>
      <c r="AH23" s="8">
        <f t="shared" ref="AH23" si="290">+AG23/$AG$4</f>
        <v>0</v>
      </c>
      <c r="AI23" s="8">
        <f t="shared" ref="AI23" si="291">+AB23/D23</f>
        <v>0.86088079861644118</v>
      </c>
      <c r="AJ23" s="2">
        <f>'[414]Part 5 - 7'!$C$45</f>
        <v>394119.28517912491</v>
      </c>
      <c r="AK23" s="4">
        <f t="shared" ref="AK23" si="292">((+D23+AJ23)-AB23)/D23</f>
        <v>0.15054201348020071</v>
      </c>
      <c r="AL23" s="4">
        <f t="shared" ref="AL23" si="293">+S23/$D23</f>
        <v>0.97281745469231695</v>
      </c>
      <c r="AM23" s="4">
        <f t="shared" ref="AM23" si="294">+T23/$D23</f>
        <v>0</v>
      </c>
      <c r="AN23" s="4">
        <f t="shared" ref="AN23" si="295">+U23/$D23</f>
        <v>0</v>
      </c>
      <c r="AO23" s="4">
        <f t="shared" ref="AO23" si="296">+V23/$D23</f>
        <v>0</v>
      </c>
      <c r="AP23" s="4">
        <f t="shared" ref="AP23" si="297">+W23/$D23</f>
        <v>0</v>
      </c>
      <c r="AQ23" s="4">
        <f t="shared" ref="AQ23" si="298">+X23/$D23</f>
        <v>0</v>
      </c>
      <c r="AR23" s="4">
        <f t="shared" ref="AR23" si="299">+Y23/$D23</f>
        <v>0</v>
      </c>
    </row>
    <row r="24" spans="1:44" x14ac:dyDescent="0.25">
      <c r="A24">
        <f t="shared" si="108"/>
        <v>20</v>
      </c>
      <c r="B24" s="3">
        <f t="shared" si="24"/>
        <v>44127</v>
      </c>
      <c r="C24" s="41">
        <f>'[415]Part 1'!$C$17</f>
        <v>0</v>
      </c>
      <c r="D24" s="2">
        <f>'[415]Part 1'!$C$21</f>
        <v>34815648.82</v>
      </c>
      <c r="E24" s="32">
        <f>'[415]Part 1'!$E$25</f>
        <v>7.5499999999999998E-2</v>
      </c>
      <c r="F24" s="8">
        <f t="shared" ref="F24" si="300">+D24/D$4</f>
        <v>0.87039110212681015</v>
      </c>
      <c r="G24" s="2">
        <f>'[415]Parts 2 - 3'!$C$49</f>
        <v>0</v>
      </c>
      <c r="H24" s="8"/>
      <c r="I24" s="8"/>
      <c r="J24" s="8"/>
      <c r="K24" s="8"/>
      <c r="L24" s="8"/>
      <c r="M24" s="8"/>
      <c r="N24" s="6">
        <f t="shared" ref="N24" si="301">G24/D23</f>
        <v>0</v>
      </c>
      <c r="O24" s="6">
        <f t="shared" ref="O24" si="302">1-(+N24-1)^12</f>
        <v>0</v>
      </c>
      <c r="P24" s="20">
        <f t="shared" ref="P24" si="303">AVERAGE(O22:O24)</f>
        <v>3.9481749505162034E-2</v>
      </c>
      <c r="Q24" s="20">
        <f t="shared" ref="Q24" si="304">AVERAGE(O19:O24)</f>
        <v>2.6120868539605657E-2</v>
      </c>
      <c r="R24" s="17">
        <f t="shared" ref="R24" si="305">AVERAGE(O13:O24)</f>
        <v>4.5473099740543053E-2</v>
      </c>
      <c r="S24" s="26">
        <f>'[415]Parts 7-10'!$C$3</f>
        <v>0</v>
      </c>
      <c r="T24" s="26">
        <f>'[415]Parts 7-10'!$D$3</f>
        <v>0</v>
      </c>
      <c r="U24" s="26">
        <f>'[415]Parts 7-10'!$E$3</f>
        <v>0</v>
      </c>
      <c r="V24" s="26">
        <f>'[415]Parts 7-10'!$F$3</f>
        <v>0</v>
      </c>
      <c r="W24" s="26">
        <f>'[415]Parts 7-10'!$G$3</f>
        <v>0</v>
      </c>
      <c r="X24" s="26">
        <f>'[415]Parts 7-10'!$I$3</f>
        <v>0</v>
      </c>
      <c r="Y24" s="26">
        <f>'[415]Part 1'!$L$36</f>
        <v>0</v>
      </c>
      <c r="Z24" s="26">
        <f t="shared" si="234"/>
        <v>0</v>
      </c>
      <c r="AA24" s="4">
        <f t="shared" ref="AA24" si="306">Z24/$D$4</f>
        <v>0</v>
      </c>
      <c r="AB24" s="2">
        <f>'[415]Part 1'!$V$4</f>
        <v>0</v>
      </c>
      <c r="AC24" s="8">
        <f t="shared" ref="AC24" si="307">+AB24/$AB$4</f>
        <v>0</v>
      </c>
      <c r="AD24" s="2">
        <f t="shared" ref="AD24" si="308">AB24*$AD$2</f>
        <v>0</v>
      </c>
      <c r="AE24" s="2">
        <f>'[415]Part 1'!$V$5</f>
        <v>0</v>
      </c>
      <c r="AF24" s="8">
        <f t="shared" ref="AF24" si="309">+AE24/$AE$4</f>
        <v>0</v>
      </c>
      <c r="AG24" s="2">
        <f>'[415]Part 1'!$V$6</f>
        <v>0</v>
      </c>
      <c r="AH24" s="8">
        <f t="shared" ref="AH24" si="310">+AG24/$AG$4</f>
        <v>0</v>
      </c>
      <c r="AI24" s="8">
        <f t="shared" ref="AI24" si="311">+AB24/D24</f>
        <v>0</v>
      </c>
      <c r="AJ24" s="2">
        <f>'[415]Parts 4 - 6 '!$C$45</f>
        <v>0</v>
      </c>
      <c r="AK24" s="4">
        <f t="shared" ref="AK24" si="312">((+D24+AJ24)-AB24)/D24</f>
        <v>1</v>
      </c>
      <c r="AL24" s="4">
        <f t="shared" ref="AL24" si="313">+S24/$D24</f>
        <v>0</v>
      </c>
      <c r="AM24" s="4">
        <f t="shared" ref="AM24" si="314">+T24/$D24</f>
        <v>0</v>
      </c>
      <c r="AN24" s="4">
        <f t="shared" ref="AN24" si="315">+U24/$D24</f>
        <v>0</v>
      </c>
      <c r="AO24" s="4">
        <f t="shared" ref="AO24" si="316">+V24/$D24</f>
        <v>0</v>
      </c>
      <c r="AP24" s="4">
        <f t="shared" ref="AP24" si="317">+W24/$D24</f>
        <v>0</v>
      </c>
      <c r="AQ24" s="4">
        <f t="shared" ref="AQ24" si="318">+X24/$D24</f>
        <v>0</v>
      </c>
      <c r="AR24" s="4">
        <f t="shared" ref="AR24" si="319">+Y24/$D24</f>
        <v>0</v>
      </c>
    </row>
    <row r="25" spans="1:44" x14ac:dyDescent="0.25">
      <c r="A25">
        <f t="shared" si="108"/>
        <v>21</v>
      </c>
      <c r="B25" s="3">
        <f t="shared" si="24"/>
        <v>44158</v>
      </c>
      <c r="C25" s="41">
        <f>'[416]Part 1'!$C$17</f>
        <v>750</v>
      </c>
      <c r="D25" s="2">
        <f>'[416]Part 1'!$C$21</f>
        <v>34502824.859999999</v>
      </c>
      <c r="E25" s="32">
        <f>'[416]Part 1'!$E$25</f>
        <v>7.5499999999999998E-2</v>
      </c>
      <c r="F25" s="8">
        <f t="shared" ref="F25" si="320">+D25/D$4</f>
        <v>0.86257050419041148</v>
      </c>
      <c r="G25" s="2">
        <f>'[416]Part 2 - 3'!$C$49</f>
        <v>244529.79</v>
      </c>
      <c r="H25" s="8"/>
      <c r="I25" s="8"/>
      <c r="J25" s="8"/>
      <c r="K25" s="8"/>
      <c r="L25" s="8"/>
      <c r="M25" s="8"/>
      <c r="N25" s="6">
        <f t="shared" ref="N25" si="321">G25/D24</f>
        <v>7.0235597579766723E-3</v>
      </c>
      <c r="O25" s="6">
        <f t="shared" ref="O25" si="322">1-(+N25-1)^12</f>
        <v>8.1101944585153518E-2</v>
      </c>
      <c r="P25" s="20">
        <f t="shared" ref="P25" si="323">AVERAGE(O23:O25)</f>
        <v>5.3644767514282009E-2</v>
      </c>
      <c r="Q25" s="20">
        <f t="shared" ref="Q25" si="324">AVERAGE(O20:O25)</f>
        <v>3.9637859303797908E-2</v>
      </c>
      <c r="R25" s="17">
        <f t="shared" ref="R25" si="325">AVERAGE(O14:O25)</f>
        <v>4.467759625273663E-2</v>
      </c>
      <c r="S25" s="26">
        <f>'[416]Part 8 - 11'!$C$3</f>
        <v>33564950.259999998</v>
      </c>
      <c r="T25" s="26">
        <f>'[416]Part 8 - 11'!$D$3</f>
        <v>516377.83</v>
      </c>
      <c r="U25" s="26">
        <f>'[416]Part 8 - 11'!$E$3</f>
        <v>389173.72</v>
      </c>
      <c r="V25" s="26">
        <f>'[416]Part 8 - 11'!$F$3</f>
        <v>0</v>
      </c>
      <c r="W25" s="26">
        <f>'[416]Part 8 - 11'!$G$3</f>
        <v>32323.05</v>
      </c>
      <c r="X25" s="26">
        <f>'[416]Part 8 - 11'!$I$3</f>
        <v>0</v>
      </c>
      <c r="Y25" s="26">
        <f>'[416]Part 12 - 13 - Deemed Default'!$L$36</f>
        <v>0</v>
      </c>
      <c r="Z25" s="26">
        <f t="shared" si="234"/>
        <v>0</v>
      </c>
      <c r="AA25" s="4">
        <f t="shared" ref="AA25" si="326">Z25/$D$4</f>
        <v>0</v>
      </c>
      <c r="AB25" s="2">
        <f>'[416]Part 12 - 13 - Deemed Default'!$V$4</f>
        <v>29702819.419999998</v>
      </c>
      <c r="AC25" s="8">
        <f t="shared" ref="AC25" si="327">+AB25/$AB$4</f>
        <v>0.84383009715909085</v>
      </c>
      <c r="AD25" s="2">
        <f>AB25*$AD$2</f>
        <v>25314902.914772723</v>
      </c>
      <c r="AE25" s="2">
        <f>'[416]Part 12 - 13 - Deemed Default'!$V$5</f>
        <v>3547233.34</v>
      </c>
      <c r="AF25" s="8">
        <f t="shared" ref="AF25" si="328">+AE25/$AE$4</f>
        <v>0.886808335</v>
      </c>
      <c r="AG25" s="2">
        <f>'[416]Part 12 - 13 - Deemed Default'!$V$6</f>
        <v>800000</v>
      </c>
      <c r="AH25" s="8">
        <f t="shared" ref="AH25" si="329">+AG25/$AG$4</f>
        <v>1</v>
      </c>
      <c r="AI25" s="8">
        <f t="shared" ref="AI25" si="330">+AB25/D25</f>
        <v>0.86088079861644118</v>
      </c>
      <c r="AJ25" s="2">
        <f>'[416]Part 5 - 7'!$C$45</f>
        <v>394119.28517912491</v>
      </c>
      <c r="AK25" s="4">
        <f t="shared" ref="AK25" si="331">((+D25+AJ25)-AB25)/D25</f>
        <v>0.15054201348020071</v>
      </c>
      <c r="AL25" s="4">
        <f t="shared" ref="AL25" si="332">+S25/$D25</f>
        <v>0.97281745469231695</v>
      </c>
      <c r="AM25" s="4">
        <f t="shared" ref="AM25" si="333">+T25/$D25</f>
        <v>1.4966247896955531E-2</v>
      </c>
      <c r="AN25" s="4">
        <f t="shared" ref="AN25" si="334">+U25/$D25</f>
        <v>1.1279474117818654E-2</v>
      </c>
      <c r="AO25" s="4">
        <f t="shared" ref="AO25" si="335">+V25/$D25</f>
        <v>0</v>
      </c>
      <c r="AP25" s="4">
        <f t="shared" ref="AP25" si="336">+W25/$D25</f>
        <v>9.3682329290877659E-4</v>
      </c>
      <c r="AQ25" s="4">
        <f t="shared" ref="AQ25" si="337">+X25/$D25</f>
        <v>0</v>
      </c>
      <c r="AR25" s="4">
        <f t="shared" ref="AR25" si="338">+Y25/$D25</f>
        <v>0</v>
      </c>
    </row>
    <row r="26" spans="1:44" x14ac:dyDescent="0.25">
      <c r="A26">
        <f t="shared" si="108"/>
        <v>22</v>
      </c>
      <c r="B26" s="3">
        <f t="shared" si="24"/>
        <v>44189</v>
      </c>
      <c r="C26" s="41">
        <f>'[417]Part 1'!$C$17</f>
        <v>748</v>
      </c>
      <c r="D26" s="2">
        <f>'[417]Part 1'!$C$21</f>
        <v>34372887.189999998</v>
      </c>
      <c r="E26" s="32">
        <f>'[417]Part 1'!$E$25</f>
        <v>7.5499999999999998E-2</v>
      </c>
      <c r="F26" s="8">
        <f t="shared" ref="F26" si="339">+D26/D$4</f>
        <v>0.85932206288219948</v>
      </c>
      <c r="G26" s="2">
        <f>'[417]Part 2 - 3'!$C$48</f>
        <v>66547.91</v>
      </c>
      <c r="H26" s="8"/>
      <c r="I26" s="8"/>
      <c r="J26" s="8"/>
      <c r="K26" s="8"/>
      <c r="L26" s="8"/>
      <c r="M26" s="8"/>
      <c r="N26" s="6">
        <f t="shared" ref="N26:N31" si="340">G26/D25</f>
        <v>1.9287670000942643E-3</v>
      </c>
      <c r="O26" s="6">
        <f t="shared" ref="O26" si="341">1-(+N26-1)^12</f>
        <v>2.2901246353636995E-2</v>
      </c>
      <c r="P26" s="20">
        <f t="shared" ref="P26" si="342">AVERAGE(O24:O26)</f>
        <v>3.4667730312930169E-2</v>
      </c>
      <c r="Q26" s="20">
        <f t="shared" ref="Q26" si="343">AVERAGE(O21:O26)</f>
        <v>4.3454733696070745E-2</v>
      </c>
      <c r="R26" s="17">
        <f t="shared" ref="R26" si="344">AVERAGE(O15:O26)</f>
        <v>3.8900998048986869E-2</v>
      </c>
      <c r="S26" s="26">
        <f>'[417]Part 8 - 11'!$C$3</f>
        <v>33486502.569999997</v>
      </c>
      <c r="T26" s="26">
        <f>'[417]Part 8 - 11'!$D$3</f>
        <v>364874.93</v>
      </c>
      <c r="U26" s="26">
        <f>'[417]Part 8 - 11'!$E$3</f>
        <v>346948.38</v>
      </c>
      <c r="V26" s="26">
        <f>'[417]Part 8 - 11'!$F$3</f>
        <v>142238.26</v>
      </c>
      <c r="W26" s="26">
        <f>'[417]Part 8 - 11'!$G$3</f>
        <v>23896.85</v>
      </c>
      <c r="X26" s="26">
        <f>'[417]Part 8 - 11'!$I$3</f>
        <v>8426.2000000000007</v>
      </c>
      <c r="Y26" s="26">
        <f>'[417]Part 12 - 13 - Deemed Default'!$L$36</f>
        <v>0</v>
      </c>
      <c r="Z26" s="26">
        <f t="shared" si="234"/>
        <v>0</v>
      </c>
      <c r="AA26" s="4">
        <f t="shared" ref="AA26" si="345">Z26/$D$4</f>
        <v>0</v>
      </c>
      <c r="AB26" s="2">
        <f>'[417]Part 12 - 13 - Deemed Default'!$V$4</f>
        <v>29572881.749999996</v>
      </c>
      <c r="AC26" s="8">
        <f t="shared" ref="AC26" si="346">+AB26/$AB$4</f>
        <v>0.84013868607954534</v>
      </c>
      <c r="AD26" s="2">
        <f t="shared" ref="AD26" si="347">AB26*$AD$2</f>
        <v>25204160.58238636</v>
      </c>
      <c r="AE26" s="2">
        <f>'[417]Part 12 - 13 - Deemed Default'!$V$5</f>
        <v>3521096.5</v>
      </c>
      <c r="AF26" s="8">
        <f t="shared" ref="AF26" si="348">+AE26/$AE$4</f>
        <v>0.88027412500000002</v>
      </c>
      <c r="AG26" s="2">
        <f>'[417]Part 12 - 13 - Deemed Default'!$V$6</f>
        <v>800000</v>
      </c>
      <c r="AH26" s="8">
        <f t="shared" ref="AH26" si="349">+AG26/$AG$4</f>
        <v>1</v>
      </c>
      <c r="AI26" s="8">
        <f t="shared" ref="AI26" si="350">+AB26/D26</f>
        <v>0.86035489502329465</v>
      </c>
      <c r="AJ26" s="2">
        <f>'[417]Part 5 - 7'!$C$45</f>
        <v>392395.17472031241</v>
      </c>
      <c r="AK26" s="4">
        <f t="shared" ref="AK26" si="351">((+D26+AJ26)-AB26)/D26</f>
        <v>0.15106093899004563</v>
      </c>
      <c r="AL26" s="4">
        <f t="shared" ref="AL26" si="352">+S26/$D26</f>
        <v>0.97421268061945421</v>
      </c>
      <c r="AM26" s="4">
        <f t="shared" ref="AM26" si="353">+T26/$D26</f>
        <v>1.0615195865948437E-2</v>
      </c>
      <c r="AN26" s="4">
        <f t="shared" ref="AN26" si="354">+U26/$D26</f>
        <v>1.0093664174388488E-2</v>
      </c>
      <c r="AO26" s="4">
        <f t="shared" ref="AO26" si="355">+V26/$D26</f>
        <v>4.1380946329518968E-3</v>
      </c>
      <c r="AP26" s="4">
        <f t="shared" ref="AP26" si="356">+W26/$D26</f>
        <v>6.9522382184270622E-4</v>
      </c>
      <c r="AQ26" s="4">
        <f t="shared" ref="AQ26" si="357">+X26/$D26</f>
        <v>2.4514088541422873E-4</v>
      </c>
      <c r="AR26" s="4">
        <f t="shared" ref="AR26" si="358">+Y26/$D26</f>
        <v>0</v>
      </c>
    </row>
    <row r="27" spans="1:44" x14ac:dyDescent="0.25">
      <c r="A27">
        <f t="shared" si="108"/>
        <v>23</v>
      </c>
      <c r="B27" s="3">
        <f t="shared" si="24"/>
        <v>44220</v>
      </c>
      <c r="C27" s="41">
        <f>'[418]Part 1'!$C$17</f>
        <v>745</v>
      </c>
      <c r="D27" s="2">
        <f>'[418]Part 1'!$C$21</f>
        <v>34184223.130000003</v>
      </c>
      <c r="E27" s="32">
        <f>'[418]Part 1'!$E$25</f>
        <v>7.5499999999999998E-2</v>
      </c>
      <c r="F27" s="8">
        <f t="shared" ref="F27" si="359">+D27/D$4</f>
        <v>0.85460546202365728</v>
      </c>
      <c r="G27" s="2">
        <v>752419.19</v>
      </c>
      <c r="H27" s="8"/>
      <c r="I27" s="8"/>
      <c r="J27" s="8"/>
      <c r="K27" s="8"/>
      <c r="L27" s="8"/>
      <c r="M27" s="8"/>
      <c r="N27" s="6">
        <f t="shared" si="340"/>
        <v>2.1889903686033656E-2</v>
      </c>
      <c r="O27" s="6">
        <f t="shared" ref="O27" si="360">1-(+N27-1)^12</f>
        <v>0.23325155833523803</v>
      </c>
      <c r="P27" s="20">
        <f t="shared" ref="P27" si="361">AVERAGE(O25:O27)</f>
        <v>0.11241824975800951</v>
      </c>
      <c r="Q27" s="20">
        <f t="shared" ref="Q27" si="362">AVERAGE(O22:O27)</f>
        <v>7.5949999631585774E-2</v>
      </c>
      <c r="R27" s="17">
        <f t="shared" ref="R27" si="363">AVERAGE(O16:O27)</f>
        <v>5.0354493867234153E-2</v>
      </c>
      <c r="S27" s="26">
        <f>'[418]Part 8 - 11'!$C$3</f>
        <v>33072622.490000002</v>
      </c>
      <c r="T27" s="26">
        <f>'[418]Part 8 - 11'!$D$3</f>
        <v>661010.12</v>
      </c>
      <c r="U27" s="26">
        <f>'[418]Part 8 - 11'!$E$3</f>
        <v>366830.83</v>
      </c>
      <c r="V27" s="26">
        <f>'[418]Part 8 - 11'!$F$3</f>
        <v>51436.639999999999</v>
      </c>
      <c r="W27" s="26">
        <f>'[418]Part 8 - 11'!$G$3</f>
        <v>0</v>
      </c>
      <c r="X27" s="26">
        <f>'[418]Part 8 - 11'!$I$3</f>
        <v>23896.85</v>
      </c>
      <c r="Y27" s="26">
        <v>8426.2000000000007</v>
      </c>
      <c r="Z27" s="26">
        <f>Y26+Y27</f>
        <v>8426.2000000000007</v>
      </c>
      <c r="AA27" s="4">
        <f t="shared" ref="AA27" si="364">Z27/$D$4</f>
        <v>2.1065497135092394E-4</v>
      </c>
      <c r="AB27" s="2">
        <f>'[418]Part 12 - 13 - Deemed Default'!$V$4</f>
        <v>29375791.489999995</v>
      </c>
      <c r="AC27" s="8">
        <f t="shared" ref="AC27" si="365">+AB27/$AB$4</f>
        <v>0.83453953096590894</v>
      </c>
      <c r="AD27" s="2">
        <f t="shared" ref="AD27" si="366">AB27*$AD$2</f>
        <v>25036185.928977266</v>
      </c>
      <c r="AE27" s="2">
        <f>'[418]Part 12 - 13 - Deemed Default'!$V$5</f>
        <v>3502588.25</v>
      </c>
      <c r="AF27" s="8">
        <f t="shared" ref="AF27" si="367">+AE27/$AE$4</f>
        <v>0.87564706250000002</v>
      </c>
      <c r="AG27" s="2">
        <f>'[418]Part 12 - 13 - Deemed Default'!$V$6</f>
        <v>800000</v>
      </c>
      <c r="AH27" s="8">
        <f t="shared" ref="AH27" si="368">+AG27/$AG$4</f>
        <v>1</v>
      </c>
      <c r="AI27" s="8">
        <f t="shared" ref="AI27" si="369">+AB27/D27</f>
        <v>0.85933769441786323</v>
      </c>
      <c r="AJ27" s="2">
        <f>'[418]Part 5 - 7'!$C$45</f>
        <v>389780.0333329374</v>
      </c>
      <c r="AK27" s="4">
        <f t="shared" ref="AK27" si="370">((+D27+AJ27)-AB27)/D27</f>
        <v>0.15206464261494376</v>
      </c>
      <c r="AL27" s="4">
        <f t="shared" ref="AL27" si="371">+S27/$D27</f>
        <v>0.96748205639272045</v>
      </c>
      <c r="AM27" s="4">
        <f t="shared" ref="AM27" si="372">+T27/$D27</f>
        <v>1.9336701538783804E-2</v>
      </c>
      <c r="AN27" s="4">
        <f t="shared" ref="AN27" si="373">+U27/$D27</f>
        <v>1.0730997998842046E-2</v>
      </c>
      <c r="AO27" s="4">
        <f t="shared" ref="AO27" si="374">+V27/$D27</f>
        <v>1.5046894529207339E-3</v>
      </c>
      <c r="AP27" s="4">
        <f t="shared" ref="AP27" si="375">+W27/$D27</f>
        <v>0</v>
      </c>
      <c r="AQ27" s="4">
        <f t="shared" ref="AQ27" si="376">+X27/$D27</f>
        <v>6.9906078921618594E-4</v>
      </c>
      <c r="AR27" s="4">
        <f t="shared" ref="AR27" si="377">+Y27/$D27</f>
        <v>2.4649382751674076E-4</v>
      </c>
    </row>
    <row r="28" spans="1:44" x14ac:dyDescent="0.25">
      <c r="A28">
        <f t="shared" si="108"/>
        <v>24</v>
      </c>
      <c r="B28" s="3">
        <f t="shared" si="24"/>
        <v>44251</v>
      </c>
      <c r="C28" s="41">
        <f>'[419]Part 1'!$C$17</f>
        <v>739</v>
      </c>
      <c r="D28" s="2">
        <f>'[419]Part 1'!$C$21</f>
        <v>33970867.590000004</v>
      </c>
      <c r="E28" s="32">
        <f>'[419]Part 1'!$E$25</f>
        <v>7.5499999999999998E-2</v>
      </c>
      <c r="F28" s="8">
        <f t="shared" ref="F28" si="378">+D28/D$4</f>
        <v>0.84927157424906607</v>
      </c>
      <c r="G28" s="2">
        <v>85612.32</v>
      </c>
      <c r="H28" s="8"/>
      <c r="I28" s="8"/>
      <c r="J28" s="8"/>
      <c r="K28" s="8"/>
      <c r="L28" s="8"/>
      <c r="M28" s="8"/>
      <c r="N28" s="6">
        <f t="shared" si="340"/>
        <v>2.5044395385094131E-3</v>
      </c>
      <c r="O28" s="6">
        <f t="shared" ref="O28" si="379">1-(+N28-1)^12</f>
        <v>2.9642744563367684E-2</v>
      </c>
      <c r="P28" s="20">
        <f t="shared" ref="P28" si="380">AVERAGE(O26:O28)</f>
        <v>9.5265183084080898E-2</v>
      </c>
      <c r="Q28" s="20">
        <f t="shared" ref="Q28" si="381">AVERAGE(O23:O28)</f>
        <v>7.445497529918145E-2</v>
      </c>
      <c r="R28" s="17">
        <f t="shared" ref="R28" si="382">AVERAGE(O17:O28)</f>
        <v>4.8613583756227367E-2</v>
      </c>
      <c r="S28" s="26">
        <f>'[419]Part 8 - 11'!$C$3</f>
        <v>32864234.670000002</v>
      </c>
      <c r="T28" s="26">
        <f>'[419]Part 8 - 11'!$D$3</f>
        <v>615616.36</v>
      </c>
      <c r="U28" s="26">
        <f>'[419]Part 8 - 11'!$E$3</f>
        <v>227310.39</v>
      </c>
      <c r="V28" s="26">
        <f>'[419]Part 8 - 11'!$F$3</f>
        <v>224444.48</v>
      </c>
      <c r="W28" s="26">
        <f>'[419]Part 8 - 11'!$G$3</f>
        <v>30835.49</v>
      </c>
      <c r="X28" s="26">
        <f>'[419]Part 8 - 11'!$I$3</f>
        <v>0</v>
      </c>
      <c r="Y28" s="26">
        <v>0</v>
      </c>
      <c r="Z28" s="26">
        <f>Z27+Y28</f>
        <v>8426.2000000000007</v>
      </c>
      <c r="AA28" s="4">
        <f t="shared" ref="AA28" si="383">Z28/$D$4</f>
        <v>2.1065497135092394E-4</v>
      </c>
      <c r="AB28" s="2">
        <f>'[419]Part 12 - 13 - Deemed Default'!$V$4</f>
        <v>29162435.949999996</v>
      </c>
      <c r="AC28" s="8">
        <f t="shared" ref="AC28:AC34" si="384">+AB28/$AB$4</f>
        <v>0.82847829403409079</v>
      </c>
      <c r="AD28" s="2">
        <f t="shared" ref="AD28" si="385">AB28*$AD$2</f>
        <v>24854348.821022719</v>
      </c>
      <c r="AE28" s="2">
        <f>'[419]Part 12 - 13 - Deemed Default'!$V$5</f>
        <v>3479441.32</v>
      </c>
      <c r="AF28" s="8">
        <f t="shared" ref="AF28" si="386">+AE28/$AE$4</f>
        <v>0.86986032999999996</v>
      </c>
      <c r="AG28" s="2">
        <f>'[419]Part 12 - 13 - Deemed Default'!$V$6</f>
        <v>800000</v>
      </c>
      <c r="AH28" s="8">
        <f t="shared" ref="AH28" si="387">+AG28/$AG$4</f>
        <v>1</v>
      </c>
      <c r="AI28" s="8">
        <f t="shared" ref="AI28" si="388">+AB28/D28</f>
        <v>0.85845425857138058</v>
      </c>
      <c r="AJ28" s="2">
        <f>'[419]Part 5 - 7'!$C$45</f>
        <v>386949.07201156247</v>
      </c>
      <c r="AK28" s="4">
        <f t="shared" ref="AK28" si="389">((+D28+AJ28)-AB28)/D28</f>
        <v>0.15293635637203834</v>
      </c>
      <c r="AL28" s="4">
        <f t="shared" ref="AL28" si="390">+S28/$D28</f>
        <v>0.96742406071707865</v>
      </c>
      <c r="AM28" s="4">
        <f t="shared" ref="AM28" si="391">+T28/$D28</f>
        <v>1.8121891010555728E-2</v>
      </c>
      <c r="AN28" s="4">
        <f t="shared" ref="AN28" si="392">+U28/$D28</f>
        <v>6.6913330781964873E-3</v>
      </c>
      <c r="AO28" s="4">
        <f t="shared" ref="AO28" si="393">+V28/$D28</f>
        <v>6.6069693217393624E-3</v>
      </c>
      <c r="AP28" s="4">
        <f t="shared" ref="AP28" si="394">+W28/$D28</f>
        <v>9.0770392950096561E-4</v>
      </c>
      <c r="AQ28" s="4">
        <f t="shared" ref="AQ28" si="395">+X28/$D28</f>
        <v>0</v>
      </c>
      <c r="AR28" s="4">
        <f t="shared" ref="AR28" si="396">+Y28/$D28</f>
        <v>0</v>
      </c>
    </row>
    <row r="29" spans="1:44" x14ac:dyDescent="0.25">
      <c r="A29">
        <f t="shared" si="108"/>
        <v>25</v>
      </c>
      <c r="B29" s="3">
        <f t="shared" si="24"/>
        <v>44282</v>
      </c>
      <c r="C29" s="41">
        <f>'[420]Part 1'!$C$17</f>
        <v>732</v>
      </c>
      <c r="D29" s="2">
        <f>'[420]Part 1'!$C$21</f>
        <v>33584242.689999998</v>
      </c>
      <c r="E29" s="32">
        <f>'[420]Part 1'!$E$25</f>
        <v>7.5399999999999995E-2</v>
      </c>
      <c r="F29" s="8">
        <f t="shared" ref="F29" si="397">+D29/D$4</f>
        <v>0.83960595306359043</v>
      </c>
      <c r="G29" s="2">
        <f>'[421]Part 2 - 3'!$C$48</f>
        <v>253754.14</v>
      </c>
      <c r="H29" s="8"/>
      <c r="I29" s="8"/>
      <c r="J29" s="8"/>
      <c r="K29" s="8"/>
      <c r="L29" s="8"/>
      <c r="M29" s="8"/>
      <c r="N29" s="6">
        <f t="shared" si="340"/>
        <v>7.469757412810309E-3</v>
      </c>
      <c r="O29" s="6">
        <f t="shared" ref="O29" si="398">1-(+N29-1)^12</f>
        <v>8.6044640173558062E-2</v>
      </c>
      <c r="P29" s="20">
        <f t="shared" ref="P29" si="399">AVERAGE(O27:O29)</f>
        <v>0.11631298102405459</v>
      </c>
      <c r="Q29" s="20">
        <f t="shared" ref="Q29" si="400">AVERAGE(O24:O29)</f>
        <v>7.5490355668492382E-2</v>
      </c>
      <c r="R29" s="17">
        <f t="shared" ref="R29" si="401">AVERAGE(O18:O29)</f>
        <v>5.0813320268760571E-2</v>
      </c>
      <c r="S29" s="26">
        <f>'[420]Part 8 - 11'!$C$3</f>
        <v>44294</v>
      </c>
      <c r="T29" s="26">
        <f>'[420]Part 8 - 11'!$D$3</f>
        <v>594508.34</v>
      </c>
      <c r="U29" s="26">
        <f>'[420]Part 8 - 11'!$E$3</f>
        <v>315360.28999999998</v>
      </c>
      <c r="V29" s="26">
        <f>'[420]Part 8 - 11'!$F$3</f>
        <v>0</v>
      </c>
      <c r="W29" s="26">
        <f>'[420]Part 8 - 11'!$G$3</f>
        <v>23896.85</v>
      </c>
      <c r="X29" s="26">
        <f>'[420]Part 8 - 11'!$I$3</f>
        <v>6938.64</v>
      </c>
      <c r="Y29" s="26">
        <v>0</v>
      </c>
      <c r="Z29" s="26">
        <f t="shared" ref="Z29:Z34" si="402">Z28+Y29</f>
        <v>8426.2000000000007</v>
      </c>
      <c r="AA29" s="4">
        <f t="shared" ref="AA29" si="403">Z29/$D$4</f>
        <v>2.1065497135092394E-4</v>
      </c>
      <c r="AB29" s="2">
        <f>'[420]Part 12 - 13 - Deemed Default'!$V$4</f>
        <v>28349603.269999996</v>
      </c>
      <c r="AC29" s="8">
        <f t="shared" si="384"/>
        <v>0.8053864565340908</v>
      </c>
      <c r="AD29" s="2">
        <f t="shared" ref="AD29" si="404">AB29*$AD$2</f>
        <v>24161593.696022723</v>
      </c>
      <c r="AE29" s="2">
        <f>'[420]Part 12 - 13 - Deemed Default'!$V$5</f>
        <v>3422877.1399999997</v>
      </c>
      <c r="AF29" s="8">
        <f t="shared" ref="AF29" si="405">+AE29/$AE$4</f>
        <v>0.85571928499999994</v>
      </c>
      <c r="AG29" s="2">
        <f>'[420]Part 12 - 13 - Deemed Default'!$V$6</f>
        <v>800000</v>
      </c>
      <c r="AH29" s="8">
        <f t="shared" ref="AH29" si="406">+AG29/$AG$4</f>
        <v>1</v>
      </c>
      <c r="AI29" s="8">
        <f t="shared" ref="AI29" si="407">+AB29/D29</f>
        <v>0.84413406405145286</v>
      </c>
      <c r="AJ29" s="2">
        <f>'[420]Part 5 - 7'!$C$45</f>
        <v>376163.79838881234</v>
      </c>
      <c r="AK29" s="4">
        <f t="shared" ref="AK29" si="408">((+D29+AJ29)-AB29)/D29</f>
        <v>0.16706653981092975</v>
      </c>
      <c r="AL29" s="4">
        <f t="shared" ref="AL29" si="409">+S29/$D29</f>
        <v>1.3188923272397898E-3</v>
      </c>
      <c r="AM29" s="4">
        <f t="shared" ref="AM29" si="410">+T29/$D29</f>
        <v>1.7702002260036671E-2</v>
      </c>
      <c r="AN29" s="4">
        <f t="shared" ref="AN29" si="411">+U29/$D29</f>
        <v>9.3901265814131715E-3</v>
      </c>
      <c r="AO29" s="4">
        <f t="shared" ref="AO29" si="412">+V29/$D29</f>
        <v>0</v>
      </c>
      <c r="AP29" s="4">
        <f t="shared" ref="AP29" si="413">+W29/$D29</f>
        <v>7.1154946742674338E-4</v>
      </c>
      <c r="AQ29" s="4">
        <f t="shared" ref="AQ29" si="414">+X29/$D29</f>
        <v>2.0660403344649605E-4</v>
      </c>
      <c r="AR29" s="4">
        <f t="shared" ref="AR29" si="415">+Y29/$D29</f>
        <v>0</v>
      </c>
    </row>
    <row r="30" spans="1:44" x14ac:dyDescent="0.25">
      <c r="A30">
        <f t="shared" si="108"/>
        <v>26</v>
      </c>
      <c r="B30" s="3">
        <f t="shared" si="24"/>
        <v>44313</v>
      </c>
      <c r="C30" s="41">
        <f>'[422]Part 1'!$C$17</f>
        <v>722</v>
      </c>
      <c r="D30" s="2">
        <f>'[422]Part 1'!$C$21</f>
        <v>33149608.710000001</v>
      </c>
      <c r="E30" s="32">
        <f>'[422]Part 1'!$E$25</f>
        <v>7.5399999999999995E-2</v>
      </c>
      <c r="F30" s="8">
        <f t="shared" ref="F30" si="416">+D30/D$4</f>
        <v>0.82874010504134576</v>
      </c>
      <c r="G30" s="2">
        <f>'[422]Part 2 - 3'!$C$48</f>
        <v>286615.52</v>
      </c>
      <c r="H30" s="8"/>
      <c r="I30" s="8"/>
      <c r="J30" s="8"/>
      <c r="K30" s="8"/>
      <c r="L30" s="8"/>
      <c r="M30" s="8"/>
      <c r="N30" s="6">
        <f t="shared" si="340"/>
        <v>8.5342260847031792E-3</v>
      </c>
      <c r="O30" s="6">
        <f t="shared" ref="O30" si="417">1-(+N30-1)^12</f>
        <v>9.7737889886227447E-2</v>
      </c>
      <c r="P30" s="20">
        <f t="shared" ref="P30" si="418">AVERAGE(O28:O30)</f>
        <v>7.1141758207717731E-2</v>
      </c>
      <c r="Q30" s="20">
        <f t="shared" ref="Q30" si="419">AVERAGE(O25:O30)</f>
        <v>9.1780003982863623E-2</v>
      </c>
      <c r="R30" s="17">
        <f t="shared" ref="R30" si="420">AVERAGE(O19:O30)</f>
        <v>5.895043626123464E-2</v>
      </c>
      <c r="S30" s="26">
        <f>'[422]Part 8 - 11'!$C$3</f>
        <v>44320</v>
      </c>
      <c r="T30" s="26">
        <f>'[422]Part 8 - 11'!$D$3</f>
        <v>737886.08</v>
      </c>
      <c r="U30" s="26">
        <f>'[422]Part 8 - 11'!$E$3</f>
        <v>2225</v>
      </c>
      <c r="V30" s="26">
        <f>'[422]Part 8 - 11'!$F$3</f>
        <v>0</v>
      </c>
      <c r="W30" s="26">
        <f>'[422]Part 8 - 11'!$G$3</f>
        <v>23896.85</v>
      </c>
      <c r="X30" s="26">
        <f>'[422]Part 8 - 11'!$I$3</f>
        <v>6938.64</v>
      </c>
      <c r="Y30" s="26">
        <v>0</v>
      </c>
      <c r="Z30" s="26">
        <f t="shared" si="402"/>
        <v>8426.2000000000007</v>
      </c>
      <c r="AA30" s="4">
        <f t="shared" ref="AA30" si="421">Z30/$D$4</f>
        <v>2.1065497135092394E-4</v>
      </c>
      <c r="AB30" s="2">
        <f>'[422]Part 12 - 13 - Deemed Default'!$V$4</f>
        <v>27914969.289999995</v>
      </c>
      <c r="AC30" s="8">
        <f t="shared" si="384"/>
        <v>0.79303890028409074</v>
      </c>
      <c r="AD30" s="2">
        <f t="shared" ref="AD30" si="422">AB30*$AD$2</f>
        <v>23791167.008522719</v>
      </c>
      <c r="AE30" s="2">
        <f>'[422]Part 12 - 13 - Deemed Default'!$V$5</f>
        <v>3384359.6499999994</v>
      </c>
      <c r="AF30" s="8">
        <f t="shared" ref="AF30" si="423">+AE30/$AE$4</f>
        <v>0.84608991249999987</v>
      </c>
      <c r="AG30" s="2">
        <f>'[422]Part 12 - 13 - Deemed Default'!$V$6</f>
        <v>800000</v>
      </c>
      <c r="AH30" s="8">
        <f t="shared" ref="AH30" si="424">+AG30/$AG$4</f>
        <v>1</v>
      </c>
      <c r="AI30" s="8">
        <f t="shared" ref="AI30" si="425">+AB30/D30</f>
        <v>0.84209046128436171</v>
      </c>
      <c r="AJ30" s="2">
        <f>'[422]Part 5 - 7'!$C$45</f>
        <v>370396.74876668741</v>
      </c>
      <c r="AK30" s="4">
        <f t="shared" ref="AK30" si="426">((+D30+AJ30)-AB30)/D30</f>
        <v>0.16908302652380514</v>
      </c>
      <c r="AL30" s="4">
        <f t="shared" ref="AL30" si="427">+S30/$D30</f>
        <v>1.3369690239097847E-3</v>
      </c>
      <c r="AM30" s="4">
        <f t="shared" ref="AM30" si="428">+T30/$D30</f>
        <v>2.2259269678118622E-2</v>
      </c>
      <c r="AN30" s="4">
        <f t="shared" ref="AN30" si="429">+U30/$D30</f>
        <v>6.7119947612799433E-5</v>
      </c>
      <c r="AO30" s="4">
        <f t="shared" ref="AO30" si="430">+V30/$D30</f>
        <v>0</v>
      </c>
      <c r="AP30" s="4">
        <f t="shared" ref="AP30" si="431">+W30/$D30</f>
        <v>7.208787955554724E-4</v>
      </c>
      <c r="AQ30" s="4">
        <f t="shared" ref="AQ30:AQ35" si="432">+X30/$D30</f>
        <v>2.0931287788947177E-4</v>
      </c>
      <c r="AR30" s="4">
        <f t="shared" ref="AR30" si="433">+Y30/$D30</f>
        <v>0</v>
      </c>
    </row>
    <row r="31" spans="1:44" x14ac:dyDescent="0.25">
      <c r="A31">
        <f t="shared" si="108"/>
        <v>27</v>
      </c>
      <c r="B31" s="3">
        <f t="shared" si="24"/>
        <v>44344</v>
      </c>
      <c r="C31" s="41">
        <f>'[423]Part 1'!$C$17</f>
        <v>721</v>
      </c>
      <c r="D31" s="2">
        <f>'[423]Part 1'!$C$21</f>
        <v>33022478.93</v>
      </c>
      <c r="E31" s="32">
        <f>'[423]Part 1'!$E$25</f>
        <v>7.5399999999999995E-2</v>
      </c>
      <c r="F31" s="8">
        <f t="shared" ref="F31" si="434">+D31/D$4</f>
        <v>0.82556186097358697</v>
      </c>
      <c r="G31" s="2">
        <f>'[423]Part 2 - 3'!$C$48</f>
        <v>30603.88</v>
      </c>
      <c r="H31" s="8"/>
      <c r="I31" s="8"/>
      <c r="J31" s="8"/>
      <c r="K31" s="8"/>
      <c r="L31" s="8"/>
      <c r="M31" s="8"/>
      <c r="N31" s="6">
        <f t="shared" si="340"/>
        <v>9.2320486397680921E-4</v>
      </c>
      <c r="O31" s="6">
        <f t="shared" ref="O31" si="435">1-(+N31-1)^12</f>
        <v>1.1022378840010671E-2</v>
      </c>
      <c r="P31" s="20">
        <f t="shared" ref="P31" si="436">AVERAGE(O29:O31)</f>
        <v>6.4934969633265394E-2</v>
      </c>
      <c r="Q31" s="20">
        <f t="shared" ref="Q31" si="437">AVERAGE(O26:O31)</f>
        <v>8.0100076358673153E-2</v>
      </c>
      <c r="R31" s="17">
        <f t="shared" ref="R31" si="438">AVERAGE(O20:O31)</f>
        <v>5.9868967831235527E-2</v>
      </c>
      <c r="S31" s="26">
        <f>'[423]Part 8 - 11'!$C$3</f>
        <v>31703031.890000001</v>
      </c>
      <c r="T31" s="26">
        <f>'[423]Part 8 - 11'!$D$3</f>
        <v>867549.72</v>
      </c>
      <c r="U31" s="26">
        <f>'[423]Part 8 - 11'!$E$3</f>
        <v>258222.42</v>
      </c>
      <c r="V31" s="26">
        <f>'[423]Part 8 - 11'!$F$3</f>
        <v>44498</v>
      </c>
      <c r="W31" s="26">
        <f>'[423]Part 8 - 11'!$G$3</f>
        <v>0</v>
      </c>
      <c r="X31" s="26">
        <f>'[423]Part 8 - 11'!$I$3</f>
        <v>6938.64</v>
      </c>
      <c r="Y31" s="26">
        <v>6938.64</v>
      </c>
      <c r="Z31" s="26">
        <f t="shared" si="402"/>
        <v>15364.84</v>
      </c>
      <c r="AA31" s="4">
        <f t="shared" ref="AA31" si="439">Z31/$D$4</f>
        <v>3.8412094775955113E-4</v>
      </c>
      <c r="AB31" s="2">
        <f>'[423]Part 12 - 13 - Deemed Default'!$V$4</f>
        <v>28215534.849999994</v>
      </c>
      <c r="AC31" s="8">
        <f t="shared" si="384"/>
        <v>0.80157769460227257</v>
      </c>
      <c r="AD31" s="2">
        <f t="shared" ref="AD31" si="440">AB31*$AD$2</f>
        <v>24047330.838068172</v>
      </c>
      <c r="AE31" s="2">
        <f>'[423]Part 12 - 13 - Deemed Default'!$V$5</f>
        <v>3402967.9399999995</v>
      </c>
      <c r="AF31" s="8">
        <f t="shared" ref="AF31" si="441">+AE31/$AE$4</f>
        <v>0.85074198499999987</v>
      </c>
      <c r="AG31" s="2">
        <f>'[423]Part 12 - 13 - Deemed Default'!$V$6</f>
        <v>800000</v>
      </c>
      <c r="AH31" s="8">
        <f t="shared" ref="AH31" si="442">+AG31/$AG$4</f>
        <v>1</v>
      </c>
      <c r="AI31" s="8">
        <f t="shared" ref="AI31" si="443">+AB31/D31</f>
        <v>0.8544341843569766</v>
      </c>
      <c r="AJ31" s="2">
        <f>'[423]Part 5 - 7'!$C$45</f>
        <v>374384.87804093736</v>
      </c>
      <c r="AK31" s="4">
        <f t="shared" ref="AK31" si="444">((+D31+AJ31)-AB31)/D31</f>
        <v>0.15690308922671001</v>
      </c>
      <c r="AL31" s="4">
        <f t="shared" ref="AL31" si="445">+S31/$D31</f>
        <v>0.9600439735975933</v>
      </c>
      <c r="AM31" s="4">
        <f t="shared" ref="AM31" si="446">+T31/$D31</f>
        <v>2.6271489849051134E-2</v>
      </c>
      <c r="AN31" s="4">
        <f t="shared" ref="AN31" si="447">+U31/$D31</f>
        <v>7.8195952686462965E-3</v>
      </c>
      <c r="AO31" s="4">
        <f t="shared" ref="AO31" si="448">+V31/$D31</f>
        <v>1.347506348458135E-3</v>
      </c>
      <c r="AP31" s="4">
        <f t="shared" ref="AP31" si="449">+W31/$D31</f>
        <v>0</v>
      </c>
      <c r="AQ31" s="4">
        <f t="shared" si="432"/>
        <v>2.1011868959651118E-4</v>
      </c>
      <c r="AR31" s="4">
        <f t="shared" ref="AR31" si="450">+Y31/$D31</f>
        <v>2.1011868959651118E-4</v>
      </c>
    </row>
    <row r="32" spans="1:44" x14ac:dyDescent="0.25">
      <c r="A32">
        <f t="shared" si="108"/>
        <v>28</v>
      </c>
      <c r="B32" s="3">
        <f t="shared" si="24"/>
        <v>44375</v>
      </c>
      <c r="C32" s="41">
        <f>'[424]Part 1'!$C$17</f>
        <v>715</v>
      </c>
      <c r="D32" s="2">
        <f>'[424]Part 1'!$C$21</f>
        <v>32754943.940000001</v>
      </c>
      <c r="E32" s="32">
        <f>'[424]Part 1'!$E$25</f>
        <v>7.5399999999999995E-2</v>
      </c>
      <c r="F32" s="8">
        <f t="shared" ref="F32" si="451">+D32/D$4</f>
        <v>0.81887348713320585</v>
      </c>
      <c r="G32" s="2">
        <f>'[424]Part 2 - 3'!$C$48</f>
        <v>121038.25</v>
      </c>
      <c r="H32" s="8"/>
      <c r="I32" s="8"/>
      <c r="J32" s="8"/>
      <c r="K32" s="8"/>
      <c r="L32" s="8"/>
      <c r="M32" s="8"/>
      <c r="N32" s="6">
        <f t="shared" ref="N32" si="452">G32/D31</f>
        <v>3.6653290098715191E-3</v>
      </c>
      <c r="O32" s="6">
        <f t="shared" ref="O32" si="453">1-(+N32-1)^12</f>
        <v>4.3108006592389669E-2</v>
      </c>
      <c r="P32" s="20">
        <f t="shared" ref="P32" si="454">AVERAGE(O30:O32)</f>
        <v>5.0622758439542594E-2</v>
      </c>
      <c r="Q32" s="20">
        <f t="shared" ref="Q32" si="455">AVERAGE(O27:O32)</f>
        <v>8.3467869731798594E-2</v>
      </c>
      <c r="R32" s="17">
        <f t="shared" ref="R32" si="456">AVERAGE(O21:O32)</f>
        <v>6.3461301713934673E-2</v>
      </c>
      <c r="S32" s="26">
        <f>'[424]Part 8 - 11'!$C$3</f>
        <v>31342901.350000001</v>
      </c>
      <c r="T32" s="26">
        <f>'[424]Part 8 - 11'!$D$3</f>
        <v>1008575.27</v>
      </c>
      <c r="U32" s="26">
        <f>'[424]Part 8 - 11'!$E$3</f>
        <v>313401.21000000002</v>
      </c>
      <c r="V32" s="26">
        <f>'[424]Part 8 - 11'!$F$3</f>
        <v>83127.47</v>
      </c>
      <c r="W32" s="26">
        <f>'[424]Part 8 - 11'!$G$3</f>
        <v>0</v>
      </c>
      <c r="X32" s="26">
        <f>'[424]Part 8 - 11'!$I$3</f>
        <v>0</v>
      </c>
      <c r="Y32" s="26">
        <v>0</v>
      </c>
      <c r="Z32" s="26">
        <f t="shared" si="402"/>
        <v>15364.84</v>
      </c>
      <c r="AA32" s="4">
        <f t="shared" ref="AA32" si="457">Z32/$D$4</f>
        <v>3.8412094775955113E-4</v>
      </c>
      <c r="AB32" s="2">
        <f>'[424]Part 12 - 13 - Deemed Default'!$V$4</f>
        <v>27954938.499999993</v>
      </c>
      <c r="AC32" s="8">
        <f t="shared" si="384"/>
        <v>0.79417438920454519</v>
      </c>
      <c r="AD32" s="2">
        <f t="shared" ref="AD32" si="458">AB32*$AD$2</f>
        <v>23825231.676136356</v>
      </c>
      <c r="AE32" s="2">
        <f>'[424]Part 12 - 13 - Deemed Default'!$V$5</f>
        <v>3374276.9299999997</v>
      </c>
      <c r="AF32" s="8">
        <f t="shared" ref="AF32" si="459">+AE32/$AE$4</f>
        <v>0.84356923249999993</v>
      </c>
      <c r="AG32" s="2">
        <f>'[424]Part 12 - 13 - Deemed Default'!$V$6</f>
        <v>800000</v>
      </c>
      <c r="AH32" s="8">
        <f t="shared" ref="AH32" si="460">+AG32/$AG$4</f>
        <v>1</v>
      </c>
      <c r="AI32" s="8">
        <f t="shared" ref="AI32" si="461">+AB32/D32</f>
        <v>0.85345707051758102</v>
      </c>
      <c r="AJ32" s="2">
        <f>'[424]Part 5 - 7'!$C$45</f>
        <v>370927.09022187488</v>
      </c>
      <c r="AK32" s="4">
        <f t="shared" ref="AK32" si="462">((+D32+AJ32)-AB32)/D32</f>
        <v>0.15786723798684918</v>
      </c>
      <c r="AL32" s="4">
        <f t="shared" ref="AL32" si="463">+S32/$D32</f>
        <v>0.95689070350458982</v>
      </c>
      <c r="AM32" s="4">
        <f t="shared" ref="AM32" si="464">+T32/$D32</f>
        <v>3.079154315902639E-2</v>
      </c>
      <c r="AN32" s="4">
        <f t="shared" ref="AN32" si="465">+U32/$D32</f>
        <v>9.5680582013537713E-3</v>
      </c>
      <c r="AO32" s="4">
        <f t="shared" ref="AO32" si="466">+V32/$D32</f>
        <v>2.5378602433962826E-3</v>
      </c>
      <c r="AP32" s="4">
        <f t="shared" ref="AP32" si="467">+W32/$D32</f>
        <v>0</v>
      </c>
      <c r="AQ32" s="4">
        <f t="shared" si="432"/>
        <v>0</v>
      </c>
      <c r="AR32" s="4">
        <f t="shared" ref="AR32" si="468">+Y32/$D32</f>
        <v>0</v>
      </c>
    </row>
    <row r="33" spans="1:44" x14ac:dyDescent="0.25">
      <c r="A33">
        <f t="shared" si="108"/>
        <v>29</v>
      </c>
      <c r="B33" s="3">
        <f t="shared" si="24"/>
        <v>44406</v>
      </c>
      <c r="C33" s="41">
        <f>'[425]Part 1'!$C$17</f>
        <v>712</v>
      </c>
      <c r="D33" s="2">
        <f>'[425]Part 1'!$C$21</f>
        <v>32414152.23</v>
      </c>
      <c r="E33" s="32">
        <f>'[425]Part 1'!$E$25</f>
        <v>7.5399999999999995E-2</v>
      </c>
      <c r="F33" s="8">
        <f t="shared" ref="F33" si="469">+D33/D$4</f>
        <v>0.81035369554189751</v>
      </c>
      <c r="G33" s="2">
        <f>'[425]Part 2 - 3'!$C$48</f>
        <v>119587.54</v>
      </c>
      <c r="H33" s="8"/>
      <c r="I33" s="8"/>
      <c r="J33" s="8"/>
      <c r="K33" s="8"/>
      <c r="L33" s="8"/>
      <c r="M33" s="8"/>
      <c r="N33" s="6">
        <f t="shared" ref="N33" si="470">G33/D32</f>
        <v>3.6509767874754601E-3</v>
      </c>
      <c r="O33" s="6">
        <f t="shared" ref="O33" si="471">1-(+N33-1)^12</f>
        <v>4.2942584889521074E-2</v>
      </c>
      <c r="P33" s="20">
        <f t="shared" ref="P33" si="472">AVERAGE(O31:O33)</f>
        <v>3.2357656773973807E-2</v>
      </c>
      <c r="Q33" s="20">
        <f t="shared" ref="Q33" si="473">AVERAGE(O28:O33)</f>
        <v>5.1749707490845766E-2</v>
      </c>
      <c r="R33" s="17">
        <f t="shared" ref="R33" si="474">AVERAGE(O22:O33)</f>
        <v>6.3849853561215766E-2</v>
      </c>
      <c r="S33" s="26">
        <f>'[425]Part 8 - 11'!$C$3</f>
        <v>30965382.260000002</v>
      </c>
      <c r="T33" s="26">
        <f>'[425]Part 8 - 11'!$D$3</f>
        <v>1194844.6299999999</v>
      </c>
      <c r="U33" s="26">
        <f>'[425]Part 8 - 11'!$E$3</f>
        <v>152066.48000000001</v>
      </c>
      <c r="V33" s="26">
        <f>'[425]Part 8 - 11'!$F$3</f>
        <v>94920.22</v>
      </c>
      <c r="W33" s="26">
        <f>'[425]Part 8 - 11'!$G$3</f>
        <v>0</v>
      </c>
      <c r="X33" s="26">
        <f>'[425]Part 8 - 11'!$I$3</f>
        <v>0</v>
      </c>
      <c r="Y33" s="26">
        <v>0</v>
      </c>
      <c r="Z33" s="26">
        <f t="shared" si="402"/>
        <v>15364.84</v>
      </c>
      <c r="AA33" s="4">
        <f t="shared" ref="AA33" si="475">Z33/$D$4</f>
        <v>3.8412094775955113E-4</v>
      </c>
      <c r="AB33" s="2">
        <f>'[425]Part 12 - 13 - Deemed Default'!$V$4</f>
        <v>27607208.149999991</v>
      </c>
      <c r="AC33" s="8">
        <f t="shared" si="384"/>
        <v>0.78429568607954525</v>
      </c>
      <c r="AD33" s="2">
        <f t="shared" ref="AD33" si="476">AB33*$AD$2</f>
        <v>23528870.582386352</v>
      </c>
      <c r="AE33" s="2">
        <f>'[425]Part 12 - 13 - Deemed Default'!$V$5</f>
        <v>3357082.4499999997</v>
      </c>
      <c r="AF33" s="8">
        <f t="shared" ref="AF33" si="477">+AE33/$AE$4</f>
        <v>0.8392706124999999</v>
      </c>
      <c r="AG33" s="2">
        <f>'[425]Part 12 - 13 - Deemed Default'!$V$6</f>
        <v>800000</v>
      </c>
      <c r="AH33" s="8">
        <f t="shared" ref="AH33" si="478">+AG33/$AG$4</f>
        <v>1</v>
      </c>
      <c r="AI33" s="8">
        <f t="shared" ref="AI33" si="479">+AB33/D33</f>
        <v>0.85170230441655426</v>
      </c>
      <c r="AJ33" s="2">
        <f>'[425]Part 5 - 7'!$C$45</f>
        <v>366313.14314031234</v>
      </c>
      <c r="AK33" s="4">
        <f t="shared" ref="AK33" si="480">((+D33+AJ33)-AB33)/D33</f>
        <v>0.15959872053517291</v>
      </c>
      <c r="AL33" s="4">
        <f t="shared" ref="AL33" si="481">+S33/$D33</f>
        <v>0.9553044003828941</v>
      </c>
      <c r="AM33" s="4">
        <f t="shared" ref="AM33" si="482">+T33/$D33</f>
        <v>3.686181953863181E-2</v>
      </c>
      <c r="AN33" s="4">
        <f t="shared" ref="AN33" si="483">+U33/$D33</f>
        <v>4.6913607032196009E-3</v>
      </c>
      <c r="AO33" s="4">
        <f t="shared" ref="AO33" si="484">+V33/$D33</f>
        <v>2.9283573214094207E-3</v>
      </c>
      <c r="AP33" s="4">
        <f t="shared" ref="AP33" si="485">+W33/$D33</f>
        <v>0</v>
      </c>
      <c r="AQ33" s="4">
        <f t="shared" si="432"/>
        <v>0</v>
      </c>
      <c r="AR33" s="4">
        <f t="shared" ref="AR33" si="486">+Y33/$D33</f>
        <v>0</v>
      </c>
    </row>
    <row r="34" spans="1:44" x14ac:dyDescent="0.25">
      <c r="A34">
        <f t="shared" si="108"/>
        <v>30</v>
      </c>
      <c r="B34" s="3">
        <f t="shared" si="24"/>
        <v>44437</v>
      </c>
      <c r="C34" s="41">
        <f>'[426]Part 1'!$C$17</f>
        <v>705</v>
      </c>
      <c r="D34" s="2">
        <f>'[426]Part 1'!$C$21</f>
        <v>31869288</v>
      </c>
      <c r="E34" s="32">
        <f>'[426]Part 1'!$E$25</f>
        <v>7.5399999999999995E-2</v>
      </c>
      <c r="F34" s="8">
        <f t="shared" ref="F34" si="487">+D34/D$4</f>
        <v>0.79673209164443559</v>
      </c>
      <c r="G34" s="2">
        <f>'[426]Part 2 - 3'!$C$48</f>
        <v>425121.84</v>
      </c>
      <c r="H34" s="8"/>
      <c r="I34" s="8"/>
      <c r="J34" s="8"/>
      <c r="K34" s="8"/>
      <c r="L34" s="8"/>
      <c r="M34" s="8"/>
      <c r="N34" s="6">
        <f t="shared" ref="N34" si="488">G34/D33</f>
        <v>1.3115315710973324E-2</v>
      </c>
      <c r="O34" s="6">
        <f t="shared" ref="O34" si="489">1-(+N34-1)^12</f>
        <v>0.14651300251902832</v>
      </c>
      <c r="P34" s="20">
        <f t="shared" ref="P34" si="490">AVERAGE(O32:O34)</f>
        <v>7.7521198000313027E-2</v>
      </c>
      <c r="Q34" s="20">
        <f t="shared" ref="Q34" si="491">AVERAGE(O29:O34)</f>
        <v>7.1228083816789203E-2</v>
      </c>
      <c r="R34" s="17">
        <f t="shared" ref="R34" si="492">AVERAGE(O23:O34)</f>
        <v>7.2841529557985327E-2</v>
      </c>
      <c r="S34" s="26">
        <f>'[426]Part 8 - 11'!$C$3</f>
        <v>30869514.09</v>
      </c>
      <c r="T34" s="26">
        <f>'[426]Part 8 - 11'!$D$3</f>
        <v>650267.1</v>
      </c>
      <c r="U34" s="26">
        <f>'[426]Part 8 - 11'!$E$3</f>
        <v>151821.26999999999</v>
      </c>
      <c r="V34" s="26">
        <f>'[426]Part 8 - 11'!$F$3</f>
        <v>197685.54</v>
      </c>
      <c r="W34" s="26">
        <f>'[426]Part 8 - 11'!$G$3</f>
        <v>0</v>
      </c>
      <c r="X34" s="26">
        <f>'[426]Part 8 - 11'!$I$3</f>
        <v>0</v>
      </c>
      <c r="Y34" s="26">
        <v>0</v>
      </c>
      <c r="Z34" s="26">
        <f t="shared" si="402"/>
        <v>15364.84</v>
      </c>
      <c r="AA34" s="4">
        <f t="shared" ref="AA34" si="493">Z34/$D$4</f>
        <v>3.8412094775955113E-4</v>
      </c>
      <c r="AB34" s="2">
        <f>'[426]Part 12 - 13 - Deemed Default'!$V$4</f>
        <v>27069282.559999991</v>
      </c>
      <c r="AC34" s="8">
        <f t="shared" si="384"/>
        <v>0.76901370909090883</v>
      </c>
      <c r="AD34" s="2">
        <f t="shared" ref="AD34" si="494">AB34*$AD$2</f>
        <v>23070411.272727262</v>
      </c>
      <c r="AE34" s="2">
        <f>'[426]Part 12 - 13 - Deemed Default'!$V$5</f>
        <v>3320968.55</v>
      </c>
      <c r="AF34" s="8">
        <f t="shared" ref="AF34" si="495">+AE34/$AE$4</f>
        <v>0.83024213749999998</v>
      </c>
      <c r="AG34" s="2">
        <f>'[426]Part 12 - 13 - Deemed Default'!$V$6</f>
        <v>800000</v>
      </c>
      <c r="AH34" s="8">
        <f t="shared" ref="AH34" si="496">+AG34/$AG$4</f>
        <v>1</v>
      </c>
      <c r="AI34" s="8">
        <f t="shared" ref="AI34" si="497">+AB34/D34</f>
        <v>0.84938460376020919</v>
      </c>
      <c r="AJ34" s="2">
        <f>'[426]Part 5 - 7'!$C$45</f>
        <v>359175.54296799982</v>
      </c>
      <c r="AK34" s="4">
        <f t="shared" ref="AK34" si="498">((+D34+AJ34)-AB34)/D34</f>
        <v>0.16188566820093409</v>
      </c>
      <c r="AL34" s="4">
        <f t="shared" ref="AL34" si="499">+S34/$D34</f>
        <v>0.96862892230287667</v>
      </c>
      <c r="AM34" s="4">
        <f t="shared" ref="AM34" si="500">+T34/$D34</f>
        <v>2.0404192901956265E-2</v>
      </c>
      <c r="AN34" s="4">
        <f t="shared" ref="AN34" si="501">+U34/$D34</f>
        <v>4.7638739215008505E-3</v>
      </c>
      <c r="AO34" s="4">
        <f t="shared" ref="AO34" si="502">+V34/$D34</f>
        <v>6.2030108736662081E-3</v>
      </c>
      <c r="AP34" s="4">
        <f t="shared" ref="AP34" si="503">+W34/$D34</f>
        <v>0</v>
      </c>
      <c r="AQ34" s="4">
        <f t="shared" si="432"/>
        <v>0</v>
      </c>
      <c r="AR34" s="4">
        <f t="shared" ref="AR34" si="504">+Y34/$D34</f>
        <v>0</v>
      </c>
    </row>
    <row r="35" spans="1:44" x14ac:dyDescent="0.25">
      <c r="A35">
        <f t="shared" si="108"/>
        <v>31</v>
      </c>
      <c r="B35" s="3">
        <f t="shared" si="24"/>
        <v>44468</v>
      </c>
      <c r="C35" s="41">
        <f>'[427]Part 1'!$C$17</f>
        <v>694</v>
      </c>
      <c r="D35" s="2">
        <f>'[427]Part 1'!$C$21</f>
        <v>31285199.760000002</v>
      </c>
      <c r="E35" s="32">
        <f>'[427]Part 1'!$E$25</f>
        <v>7.5399999999999995E-2</v>
      </c>
      <c r="F35" s="8">
        <f t="shared" ref="F35" si="505">+D35/D$4</f>
        <v>0.78212988763033542</v>
      </c>
      <c r="G35" s="2">
        <f>'[427]Part 2 - 3'!$C$48</f>
        <v>145066.47</v>
      </c>
      <c r="H35" s="8"/>
      <c r="I35" s="8"/>
      <c r="J35" s="8"/>
      <c r="K35" s="8"/>
      <c r="L35" s="8"/>
      <c r="M35" s="8"/>
      <c r="N35" s="6">
        <f t="shared" ref="N35" si="506">G35/D34</f>
        <v>4.5519206453561185E-3</v>
      </c>
      <c r="O35" s="6">
        <f t="shared" ref="O35" si="507">1-(+N35-1)^12</f>
        <v>5.327606744513691E-2</v>
      </c>
      <c r="P35" s="20">
        <f t="shared" ref="P35" si="508">AVERAGE(O33:O35)</f>
        <v>8.091055161789544E-2</v>
      </c>
      <c r="Q35" s="20">
        <f t="shared" ref="Q35" si="509">AVERAGE(O30:O35)</f>
        <v>6.576665502871902E-2</v>
      </c>
      <c r="R35" s="17">
        <f t="shared" ref="R35" si="510">AVERAGE(O24:O35)</f>
        <v>7.0628505348605694E-2</v>
      </c>
      <c r="S35" s="26">
        <f>'[427]Part 8 - 11'!$C$3</f>
        <v>30291493.059999999</v>
      </c>
      <c r="T35" s="26">
        <f>'[427]Part 8 - 11'!$D$3</f>
        <v>796736.77</v>
      </c>
      <c r="U35" s="26">
        <f>'[427]Part 8 - 11'!$E$3</f>
        <v>63934.21</v>
      </c>
      <c r="V35" s="26">
        <f>'[427]Part 8 - 11'!$F$3</f>
        <v>82613.5</v>
      </c>
      <c r="W35" s="26">
        <f>'[427]Part 8 - 11'!$G$3</f>
        <v>50422.22</v>
      </c>
      <c r="X35" s="26">
        <f>'[427]Part 8 - 11'!$I$3</f>
        <v>0</v>
      </c>
      <c r="Y35" s="26">
        <v>0</v>
      </c>
      <c r="Z35" s="26">
        <f t="shared" ref="Z35" si="511">Z34+Y35</f>
        <v>15364.84</v>
      </c>
      <c r="AA35" s="4">
        <f t="shared" ref="AA35" si="512">Z35/$D$4</f>
        <v>3.8412094775955113E-4</v>
      </c>
      <c r="AB35" s="2">
        <f>'[427]Part 12 - 13 - Deemed Default'!$V$4</f>
        <v>26485194.319999993</v>
      </c>
      <c r="AC35" s="8">
        <f t="shared" ref="AC35" si="513">+AB35/$AB$4</f>
        <v>0.75242029318181802</v>
      </c>
      <c r="AD35" s="2">
        <f t="shared" ref="AD35" si="514">AB35*$AD$2</f>
        <v>22572608.795454536</v>
      </c>
      <c r="AE35" s="2">
        <f>'[427]Part 12 - 13 - Deemed Default'!$V$5</f>
        <v>3267234.38</v>
      </c>
      <c r="AF35" s="8">
        <f t="shared" ref="AF35" si="515">+AE35/$AE$4</f>
        <v>0.81680859500000003</v>
      </c>
      <c r="AG35" s="2">
        <f>'[427]Part 12 - 13 - Deemed Default'!$V$6</f>
        <v>800000</v>
      </c>
      <c r="AH35" s="8">
        <f t="shared" ref="AH35" si="516">+AG35/$AG$4</f>
        <v>1</v>
      </c>
      <c r="AI35" s="8">
        <f t="shared" ref="AI35" si="517">+AB35/D35</f>
        <v>0.84657264531399601</v>
      </c>
      <c r="AJ35" s="2">
        <f>'[427]Part 5 - 7'!$C$45</f>
        <v>351425.42213349987</v>
      </c>
      <c r="AK35" s="4">
        <f t="shared" ref="AK35" si="518">((+D35+AJ35)-AB35)/D35</f>
        <v>0.16466031547351417</v>
      </c>
      <c r="AL35" s="4">
        <f t="shared" ref="AL35" si="519">+S35/$D35</f>
        <v>0.96823716301564056</v>
      </c>
      <c r="AM35" s="4">
        <f t="shared" ref="AM35" si="520">+T35/$D35</f>
        <v>2.5466890929642574E-2</v>
      </c>
      <c r="AN35" s="4">
        <f t="shared" ref="AN35" si="521">+U35/$D35</f>
        <v>2.043592832728008E-3</v>
      </c>
      <c r="AO35" s="4">
        <f t="shared" ref="AO35" si="522">+V35/$D35</f>
        <v>2.6406575835781075E-3</v>
      </c>
      <c r="AP35" s="4">
        <f t="shared" ref="AP35" si="523">+W35/$D35</f>
        <v>1.6116956384107167E-3</v>
      </c>
      <c r="AQ35" s="4">
        <f t="shared" si="432"/>
        <v>0</v>
      </c>
      <c r="AR35" s="4">
        <f t="shared" ref="AR35" si="524">+Y35/$D35</f>
        <v>0</v>
      </c>
    </row>
    <row r="36" spans="1:44" x14ac:dyDescent="0.25">
      <c r="A36">
        <f t="shared" si="108"/>
        <v>32</v>
      </c>
      <c r="B36" s="3">
        <f t="shared" si="24"/>
        <v>44499</v>
      </c>
      <c r="C36" s="41">
        <f>'[428]Part 1'!$C$17</f>
        <v>690</v>
      </c>
      <c r="D36" s="2">
        <f>'[428]Part 1'!$C$21</f>
        <v>31125783.190000001</v>
      </c>
      <c r="E36" s="32">
        <f>'[428]Part 1'!$E$25</f>
        <v>7.5399999999999995E-2</v>
      </c>
      <c r="F36" s="8">
        <f t="shared" ref="F36" si="525">+D36/D$4</f>
        <v>0.77814447392235164</v>
      </c>
      <c r="G36" s="2">
        <f>'[428]Part 2 - 3'!$C$48</f>
        <v>82910</v>
      </c>
      <c r="H36" s="8"/>
      <c r="I36" s="8"/>
      <c r="J36" s="8"/>
      <c r="K36" s="8"/>
      <c r="L36" s="8"/>
      <c r="M36" s="8"/>
      <c r="N36" s="6">
        <f t="shared" ref="N36" si="526">G36/D35</f>
        <v>2.6501349083922232E-3</v>
      </c>
      <c r="O36" s="6">
        <f t="shared" ref="O36" si="527">1-(+N36-1)^12</f>
        <v>3.1342157138425919E-2</v>
      </c>
      <c r="P36" s="20">
        <f t="shared" ref="P36" si="528">AVERAGE(O34:O36)</f>
        <v>7.704374236753038E-2</v>
      </c>
      <c r="Q36" s="20">
        <f t="shared" ref="Q36" si="529">AVERAGE(O31:O36)</f>
        <v>5.4700699570752097E-2</v>
      </c>
      <c r="R36" s="17">
        <f t="shared" ref="R36" si="530">AVERAGE(O25:O36)</f>
        <v>7.3240351776807863E-2</v>
      </c>
      <c r="S36" s="26">
        <f>'[428]Part 8 - 11'!$C$3</f>
        <v>30228263.129999999</v>
      </c>
      <c r="T36" s="26">
        <f>'[428]Part 8 - 11'!$D$3</f>
        <v>577753.63</v>
      </c>
      <c r="U36" s="26">
        <f>'[428]Part 8 - 11'!$E$3</f>
        <v>172485.04</v>
      </c>
      <c r="V36" s="26">
        <f>'[428]Part 8 - 11'!$F$3</f>
        <v>147281.39000000001</v>
      </c>
      <c r="W36" s="26">
        <f>'[428]Part 8 - 11'!$G$3</f>
        <v>0</v>
      </c>
      <c r="X36" s="26">
        <f>'[428]Part 8 - 11'!$I$3</f>
        <v>0</v>
      </c>
      <c r="Y36" s="26">
        <v>0</v>
      </c>
      <c r="Z36" s="26">
        <f t="shared" ref="Z36" si="531">Z35+Y36</f>
        <v>15364.84</v>
      </c>
      <c r="AA36" s="4">
        <f t="shared" ref="AA36" si="532">Z36/$D$4</f>
        <v>3.8412094775955113E-4</v>
      </c>
      <c r="AB36" s="2">
        <f>'[428]Part 12 - 13 - Deemed Default'!$V$4</f>
        <v>26325777.749999993</v>
      </c>
      <c r="AC36" s="8">
        <f t="shared" ref="AC36" si="533">+AB36/$AB$4</f>
        <v>0.74789141335227249</v>
      </c>
      <c r="AD36" s="2">
        <f t="shared" ref="AD36" si="534">AB36*$AD$2</f>
        <v>22436742.400568172</v>
      </c>
      <c r="AE36" s="2">
        <f>'[428]Part 12 - 13 - Deemed Default'!$V$5</f>
        <v>3251345.26</v>
      </c>
      <c r="AF36" s="8">
        <f t="shared" ref="AF36" si="535">+AE36/$AE$4</f>
        <v>0.81283631499999998</v>
      </c>
      <c r="AG36" s="2">
        <f>'[428]Part 12 - 13 - Deemed Default'!$V$6</f>
        <v>800000</v>
      </c>
      <c r="AH36" s="8">
        <f t="shared" ref="AH36" si="536">+AG36/$AG$4</f>
        <v>1</v>
      </c>
      <c r="AI36" s="8">
        <f t="shared" ref="AI36" si="537">+AB36/D36</f>
        <v>0.84578683817529965</v>
      </c>
      <c r="AJ36" s="2">
        <f>'[428]Part 5 - 7'!$C$45</f>
        <v>349310.1635203124</v>
      </c>
      <c r="AK36" s="4">
        <f t="shared" ref="AK36" si="538">((+D36+AJ36)-AB36)/D36</f>
        <v>0.16543569593373891</v>
      </c>
      <c r="AL36" s="4">
        <f t="shared" ref="AL36" si="539">+S36/$D36</f>
        <v>0.97116473971044193</v>
      </c>
      <c r="AM36" s="4">
        <f t="shared" ref="AM36" si="540">+T36/$D36</f>
        <v>1.8561898554431203E-2</v>
      </c>
      <c r="AN36" s="4">
        <f t="shared" ref="AN36" si="541">+U36/$D36</f>
        <v>5.5415485916324022E-3</v>
      </c>
      <c r="AO36" s="4">
        <f t="shared" ref="AO36" si="542">+V36/$D36</f>
        <v>4.7318131434944304E-3</v>
      </c>
      <c r="AP36" s="4">
        <f t="shared" ref="AP36" si="543">+W36/$D36</f>
        <v>0</v>
      </c>
      <c r="AQ36" s="4">
        <f t="shared" ref="AQ36" si="544">+X36/$D36</f>
        <v>0</v>
      </c>
      <c r="AR36" s="4">
        <f t="shared" ref="AR36" si="545">+Y36/$D36</f>
        <v>0</v>
      </c>
    </row>
    <row r="37" spans="1:44" x14ac:dyDescent="0.25">
      <c r="A37">
        <f t="shared" si="108"/>
        <v>33</v>
      </c>
      <c r="B37" s="3">
        <f t="shared" si="24"/>
        <v>44530</v>
      </c>
      <c r="C37" s="41">
        <f>'[429]Part 1'!$C$17</f>
        <v>690</v>
      </c>
      <c r="D37" s="2">
        <f>'[429]Part 1'!$C$21</f>
        <v>31125783.190000001</v>
      </c>
      <c r="E37" s="32">
        <f>'[429]Part 1'!$E$25</f>
        <v>7.5399999999999995E-2</v>
      </c>
      <c r="F37" s="8">
        <f t="shared" ref="F37" si="546">+D37/D$4</f>
        <v>0.77814447392235164</v>
      </c>
      <c r="G37" s="2">
        <f>'[429]Part 2 - 3'!$C$48</f>
        <v>82910</v>
      </c>
      <c r="H37" s="8"/>
      <c r="I37" s="8"/>
      <c r="J37" s="8"/>
      <c r="K37" s="8"/>
      <c r="L37" s="8"/>
      <c r="M37" s="8"/>
      <c r="N37" s="6">
        <f t="shared" ref="N37" si="547">G37/D36</f>
        <v>2.6637080742320752E-3</v>
      </c>
      <c r="O37" s="6">
        <f t="shared" ref="O37" si="548">1-(+N37-1)^12</f>
        <v>3.1500337571532921E-2</v>
      </c>
      <c r="P37" s="20">
        <f t="shared" ref="P37" si="549">AVERAGE(O35:O37)</f>
        <v>3.8706187385031919E-2</v>
      </c>
      <c r="Q37" s="20">
        <f t="shared" ref="Q37" si="550">AVERAGE(O32:O37)</f>
        <v>5.811369269267247E-2</v>
      </c>
      <c r="R37" s="17">
        <f t="shared" ref="R37" si="551">AVERAGE(O26:O37)</f>
        <v>6.9106884525672804E-2</v>
      </c>
      <c r="S37" s="26">
        <f>'[429]Part 8 - 11'!$C$3</f>
        <v>30228263.129999999</v>
      </c>
      <c r="T37" s="26">
        <f>'[429]Part 8 - 11'!$D$3</f>
        <v>577753.63</v>
      </c>
      <c r="U37" s="26">
        <f>'[429]Part 8 - 11'!$E$3</f>
        <v>172485.04</v>
      </c>
      <c r="V37" s="26">
        <f>'[429]Part 8 - 11'!$F$3</f>
        <v>147281.39000000001</v>
      </c>
      <c r="W37" s="26">
        <f>'[429]Part 8 - 11'!$G$3</f>
        <v>0</v>
      </c>
      <c r="X37" s="26">
        <f>'[429]Part 8 - 11'!$I$3</f>
        <v>0</v>
      </c>
      <c r="Y37" s="26">
        <v>0</v>
      </c>
      <c r="Z37" s="26">
        <f t="shared" ref="Z37" si="552">Z36+Y37</f>
        <v>15364.84</v>
      </c>
      <c r="AA37" s="4">
        <f t="shared" ref="AA37" si="553">Z37/$D$4</f>
        <v>3.8412094775955113E-4</v>
      </c>
      <c r="AB37" s="2">
        <f>'[429]Part 12 - 13 - Deemed Default'!$V$4</f>
        <v>26325777.749999993</v>
      </c>
      <c r="AC37" s="8">
        <f t="shared" ref="AC37" si="554">+AB37/$AB$4</f>
        <v>0.74789141335227249</v>
      </c>
      <c r="AD37" s="2">
        <f t="shared" ref="AD37" si="555">AB37*$AD$2</f>
        <v>22436742.400568172</v>
      </c>
      <c r="AE37" s="2">
        <f>'[429]Part 12 - 13 - Deemed Default'!$V$5</f>
        <v>3251345.26</v>
      </c>
      <c r="AF37" s="8">
        <f t="shared" ref="AF37" si="556">+AE37/$AE$4</f>
        <v>0.81283631499999998</v>
      </c>
      <c r="AG37" s="2">
        <f>'[429]Part 12 - 13 - Deemed Default'!$V$6</f>
        <v>800000</v>
      </c>
      <c r="AH37" s="8">
        <f t="shared" ref="AH37" si="557">+AG37/$AG$4</f>
        <v>1</v>
      </c>
      <c r="AI37" s="8">
        <f t="shared" ref="AI37" si="558">+AB37/D37</f>
        <v>0.84578683817529965</v>
      </c>
      <c r="AJ37" s="2">
        <f>'[429]Part 5 - 7'!$C$45</f>
        <v>349310.1635203124</v>
      </c>
      <c r="AK37" s="4">
        <f t="shared" ref="AK37" si="559">((+D37+AJ37)-AB37)/D37</f>
        <v>0.16543569593373891</v>
      </c>
      <c r="AL37" s="4">
        <f t="shared" ref="AL37" si="560">+S37/$D37</f>
        <v>0.97116473971044193</v>
      </c>
      <c r="AM37" s="4">
        <f t="shared" ref="AM37" si="561">+T37/$D37</f>
        <v>1.8561898554431203E-2</v>
      </c>
      <c r="AN37" s="4">
        <f t="shared" ref="AN37" si="562">+U37/$D37</f>
        <v>5.5415485916324022E-3</v>
      </c>
      <c r="AO37" s="4">
        <f t="shared" ref="AO37" si="563">+V37/$D37</f>
        <v>4.7318131434944304E-3</v>
      </c>
      <c r="AP37" s="4">
        <f t="shared" ref="AP37" si="564">+W37/$D37</f>
        <v>0</v>
      </c>
      <c r="AQ37" s="4">
        <f t="shared" ref="AQ37" si="565">+X37/$D37</f>
        <v>0</v>
      </c>
      <c r="AR37" s="4">
        <f t="shared" ref="AR37" si="566">+Y37/$D37</f>
        <v>0</v>
      </c>
    </row>
    <row r="38" spans="1:44" x14ac:dyDescent="0.25">
      <c r="A38">
        <f t="shared" si="108"/>
        <v>34</v>
      </c>
      <c r="B38" s="3">
        <f t="shared" si="24"/>
        <v>44561</v>
      </c>
      <c r="C38" s="41">
        <f>'[430]Part 1'!$C$17</f>
        <v>680</v>
      </c>
      <c r="D38" s="2">
        <f>'[430]Part 1'!$C$21</f>
        <v>30444638.239999998</v>
      </c>
      <c r="E38" s="32">
        <f>'[430]Part 1'!$E$25</f>
        <v>7.5399999999999995E-2</v>
      </c>
      <c r="F38" s="8">
        <f t="shared" ref="F38" si="567">+D38/D$4</f>
        <v>0.76111585248824409</v>
      </c>
      <c r="G38" s="2">
        <f>'[430]Part 2 - 3'!$C$48</f>
        <v>58082.8</v>
      </c>
      <c r="H38" s="8"/>
      <c r="I38" s="8"/>
      <c r="J38" s="8"/>
      <c r="K38" s="8"/>
      <c r="L38" s="8"/>
      <c r="M38" s="8"/>
      <c r="N38" s="6">
        <f t="shared" ref="N38" si="568">G38/D37</f>
        <v>1.8660671008805547E-3</v>
      </c>
      <c r="O38" s="6">
        <f t="shared" ref="O38" si="569">1-(+N38-1)^12</f>
        <v>2.2164403168933977E-2</v>
      </c>
      <c r="P38" s="20">
        <f t="shared" ref="P38" si="570">AVERAGE(O36:O38)</f>
        <v>2.8335632626297607E-2</v>
      </c>
      <c r="Q38" s="20">
        <f t="shared" ref="Q38" si="571">AVERAGE(O33:O38)</f>
        <v>5.4623092122096518E-2</v>
      </c>
      <c r="R38" s="17">
        <f t="shared" ref="R38" si="572">AVERAGE(O27:O38)</f>
        <v>6.9045480926947553E-2</v>
      </c>
      <c r="S38" s="26">
        <f>'[430]Part 8 - 11'!$C$3</f>
        <v>29699790.010000002</v>
      </c>
      <c r="T38" s="26">
        <f>'[430]Part 8 - 11'!$D$3</f>
        <v>318839.67999999999</v>
      </c>
      <c r="U38" s="26">
        <f>'[430]Part 8 - 11'!$E$3</f>
        <v>288843.77</v>
      </c>
      <c r="V38" s="26">
        <f>'[430]Part 8 - 11'!$F$3</f>
        <v>79908.710000000006</v>
      </c>
      <c r="W38" s="26">
        <f>'[430]Part 8 - 11'!$G$3</f>
        <v>6833.85</v>
      </c>
      <c r="X38" s="26">
        <f>'[430]Part 8 - 11'!$I$3</f>
        <v>50422.22</v>
      </c>
      <c r="Y38" s="26">
        <v>0</v>
      </c>
      <c r="Z38" s="26">
        <f t="shared" ref="Z38" si="573">Z37+Y38</f>
        <v>15364.84</v>
      </c>
      <c r="AA38" s="4">
        <f t="shared" ref="AA38" si="574">Z38/$D$4</f>
        <v>3.8412094775955113E-4</v>
      </c>
      <c r="AB38" s="2">
        <f>'[430]Part 12 - 13 - Deemed Default'!$V$4</f>
        <v>25644632.79999999</v>
      </c>
      <c r="AC38" s="8">
        <f t="shared" ref="AC38" si="575">+AB38/$AB$4</f>
        <v>0.72854070454545428</v>
      </c>
      <c r="AD38" s="2">
        <f t="shared" ref="AD38" si="576">AB38*$AD$2</f>
        <v>21856221.136363626</v>
      </c>
      <c r="AE38" s="2">
        <f>'[430]Part 12 - 13 - Deemed Default'!$V$5</f>
        <v>3196740.26</v>
      </c>
      <c r="AF38" s="8">
        <f t="shared" ref="AF38" si="577">+AE38/$AE$4</f>
        <v>0.79918506499999997</v>
      </c>
      <c r="AG38" s="2">
        <f>'[430]Part 12 - 13 - Deemed Default'!$V$6</f>
        <v>800000</v>
      </c>
      <c r="AH38" s="8">
        <f t="shared" ref="AH38" si="578">+AG38/$AG$4</f>
        <v>1</v>
      </c>
      <c r="AI38" s="8">
        <f t="shared" ref="AI38" si="579">+AB38/D38</f>
        <v>0.84233659135113415</v>
      </c>
      <c r="AJ38" s="2">
        <f>'[430]Part 5 - 7'!$C$45</f>
        <v>340272.22146499984</v>
      </c>
      <c r="AK38" s="4">
        <f t="shared" ref="AK38" si="580">((+D38+AJ38)-AB38)/D38</f>
        <v>0.16884016229535623</v>
      </c>
      <c r="AL38" s="4">
        <f t="shared" ref="AL38" si="581">+S38/$D38</f>
        <v>0.97553433796361</v>
      </c>
      <c r="AM38" s="4">
        <f t="shared" ref="AM38" si="582">+T38/$D38</f>
        <v>1.0472769539468175E-2</v>
      </c>
      <c r="AN38" s="4">
        <f t="shared" ref="AN38" si="583">+U38/$D38</f>
        <v>9.48750869440451E-3</v>
      </c>
      <c r="AO38" s="4">
        <f t="shared" ref="AO38" si="584">+V38/$D38</f>
        <v>2.6247219418429855E-3</v>
      </c>
      <c r="AP38" s="4">
        <f t="shared" ref="AP38" si="585">+W38/$D38</f>
        <v>2.2446809668512588E-4</v>
      </c>
      <c r="AQ38" s="4">
        <f t="shared" ref="AQ38" si="586">+X38/$D38</f>
        <v>1.6561937639893601E-3</v>
      </c>
      <c r="AR38" s="4">
        <f t="shared" ref="AR38" si="587">+Y38/$D38</f>
        <v>0</v>
      </c>
    </row>
    <row r="39" spans="1:44" x14ac:dyDescent="0.25">
      <c r="A39">
        <f t="shared" si="108"/>
        <v>35</v>
      </c>
      <c r="B39" s="3">
        <f t="shared" si="24"/>
        <v>44592</v>
      </c>
      <c r="C39" s="41">
        <f>'[431]Part 1'!$C$17</f>
        <v>680</v>
      </c>
      <c r="D39" s="2">
        <f>'[431]Part 1'!$C$21</f>
        <v>30444638.239999998</v>
      </c>
      <c r="E39" s="32">
        <f>'[431]Part 1'!$E$25</f>
        <v>7.5399999999999995E-2</v>
      </c>
      <c r="F39" s="8">
        <f t="shared" ref="F39" si="588">+D39/D$4</f>
        <v>0.76111585248824409</v>
      </c>
      <c r="G39" s="2">
        <f>'[431]Part 2 - 3'!$C$48</f>
        <v>58082.8</v>
      </c>
      <c r="H39" s="8"/>
      <c r="I39" s="8"/>
      <c r="J39" s="8"/>
      <c r="K39" s="8"/>
      <c r="L39" s="8"/>
      <c r="M39" s="8"/>
      <c r="N39" s="6">
        <f t="shared" ref="N39" si="589">G39/D38</f>
        <v>1.9078170527803259E-3</v>
      </c>
      <c r="O39" s="6">
        <f t="shared" ref="O39" si="590">1-(+N39-1)^12</f>
        <v>2.2655101227416652E-2</v>
      </c>
      <c r="P39" s="20">
        <f t="shared" ref="P39" si="591">AVERAGE(O37:O39)</f>
        <v>2.5439947322627849E-2</v>
      </c>
      <c r="Q39" s="20">
        <f t="shared" ref="Q39" si="592">AVERAGE(O34:O39)</f>
        <v>5.1241844845079119E-2</v>
      </c>
      <c r="R39" s="17">
        <f t="shared" ref="R39" si="593">AVERAGE(O28:O39)</f>
        <v>5.1495776167962443E-2</v>
      </c>
      <c r="S39" s="26">
        <f>'[431]Part 8 - 11'!$C$3</f>
        <v>29699790.010000002</v>
      </c>
      <c r="T39" s="26">
        <f>'[431]Part 8 - 11'!$D$3</f>
        <v>318839.67999999999</v>
      </c>
      <c r="U39" s="26">
        <f>'[431]Part 8 - 11'!$E$3</f>
        <v>288843.77</v>
      </c>
      <c r="V39" s="26">
        <f>'[431]Part 8 - 11'!$F$3</f>
        <v>79908.710000000006</v>
      </c>
      <c r="W39" s="26">
        <f>'[431]Part 8 - 11'!$G$3</f>
        <v>6833.85</v>
      </c>
      <c r="X39" s="26">
        <f>'[431]Part 8 - 11'!$I$3</f>
        <v>50422.22</v>
      </c>
      <c r="Y39" s="26">
        <f>'[431]Part 8 - 11'!$M$13</f>
        <v>0</v>
      </c>
      <c r="Z39" s="26">
        <f t="shared" ref="Z39" si="594">Z38+Y39</f>
        <v>15364.84</v>
      </c>
      <c r="AA39" s="4">
        <f t="shared" ref="AA39" si="595">Z39/$D$4</f>
        <v>3.8412094775955113E-4</v>
      </c>
      <c r="AB39" s="2">
        <f>'[431]Part 12 - 13 - Deemed Default'!$V$4</f>
        <v>25644632.79999999</v>
      </c>
      <c r="AC39" s="8">
        <f t="shared" ref="AC39" si="596">+AB39/$AB$4</f>
        <v>0.72854070454545428</v>
      </c>
      <c r="AD39" s="2">
        <f t="shared" ref="AD39" si="597">AB39*$AD$2</f>
        <v>21856221.136363626</v>
      </c>
      <c r="AE39" s="2">
        <f>'[431]Part 12 - 13 - Deemed Default'!$V$5</f>
        <v>3196740.26</v>
      </c>
      <c r="AF39" s="8">
        <f t="shared" ref="AF39" si="598">+AE39/$AE$4</f>
        <v>0.79918506499999997</v>
      </c>
      <c r="AG39" s="2">
        <f>'[431]Part 12 - 13 - Deemed Default'!$V$6</f>
        <v>800000</v>
      </c>
      <c r="AH39" s="8">
        <f t="shared" ref="AH39" si="599">+AG39/$AG$4</f>
        <v>1</v>
      </c>
      <c r="AI39" s="8">
        <f t="shared" ref="AI39" si="600">+AB39/D39</f>
        <v>0.84233659135113415</v>
      </c>
      <c r="AJ39" s="2">
        <f>'[431]Part 5 - 7'!$C$45</f>
        <v>340272.22146499984</v>
      </c>
      <c r="AK39" s="4">
        <f t="shared" ref="AK39" si="601">((+D39+AJ39)-AB39)/D39</f>
        <v>0.16884016229535623</v>
      </c>
      <c r="AL39" s="4">
        <f t="shared" ref="AL39:AL44" si="602">+S39/$D39</f>
        <v>0.97553433796361</v>
      </c>
      <c r="AM39" s="4">
        <f t="shared" ref="AM39" si="603">+T39/$D39</f>
        <v>1.0472769539468175E-2</v>
      </c>
      <c r="AN39" s="4">
        <f t="shared" ref="AN39" si="604">+U39/$D39</f>
        <v>9.48750869440451E-3</v>
      </c>
      <c r="AO39" s="4">
        <f t="shared" ref="AO39" si="605">+V39/$D39</f>
        <v>2.6247219418429855E-3</v>
      </c>
      <c r="AP39" s="4">
        <f t="shared" ref="AP39" si="606">+W39/$D39</f>
        <v>2.2446809668512588E-4</v>
      </c>
      <c r="AQ39" s="4">
        <f t="shared" ref="AQ39" si="607">+X39/$D39</f>
        <v>1.6561937639893601E-3</v>
      </c>
      <c r="AR39" s="4">
        <f t="shared" ref="AR39" si="608">+Y39/$D39</f>
        <v>0</v>
      </c>
    </row>
    <row r="40" spans="1:44" x14ac:dyDescent="0.25">
      <c r="A40">
        <f t="shared" si="108"/>
        <v>36</v>
      </c>
      <c r="B40" s="3">
        <f t="shared" ref="B40:B51" si="609">+B39+28</f>
        <v>44620</v>
      </c>
      <c r="C40" s="41">
        <f>'[432]Part 1'!$C$17</f>
        <v>676</v>
      </c>
      <c r="D40" s="2">
        <f>'[432]Part 1'!$C$21</f>
        <v>30214888.82</v>
      </c>
      <c r="E40" s="32">
        <f>'[432]Part 1'!$E$25</f>
        <v>7.5300000000000006E-2</v>
      </c>
      <c r="F40" s="8">
        <f t="shared" ref="F40" si="610">+D40/D$4</f>
        <v>0.75537211776939206</v>
      </c>
      <c r="G40" s="2">
        <f>'[432]Part 2 - 3'!$C$48</f>
        <v>148623.62</v>
      </c>
      <c r="H40" s="8"/>
      <c r="I40" s="8"/>
      <c r="J40" s="8"/>
      <c r="K40" s="8"/>
      <c r="L40" s="8"/>
      <c r="M40" s="8"/>
      <c r="N40" s="6">
        <f t="shared" ref="N40" si="611">G40/D39</f>
        <v>4.8817666621089727E-3</v>
      </c>
      <c r="O40" s="6">
        <f t="shared" ref="O40" si="612">1-(+N40-1)^12</f>
        <v>5.7033627293164635E-2</v>
      </c>
      <c r="P40" s="20">
        <f t="shared" ref="P40" si="613">AVERAGE(O38:O40)</f>
        <v>3.3951043896505086E-2</v>
      </c>
      <c r="Q40" s="20">
        <f t="shared" ref="Q40" si="614">AVERAGE(O35:O40)</f>
        <v>3.6328615640768502E-2</v>
      </c>
      <c r="R40" s="17">
        <f t="shared" ref="R40" si="615">AVERAGE(O29:O40)</f>
        <v>5.3778349728778853E-2</v>
      </c>
      <c r="S40" s="26">
        <f>'[432]Part 8 - 11'!$C$3</f>
        <v>29552139.619999997</v>
      </c>
      <c r="T40" s="26">
        <f>'[432]Part 8 - 11'!$D$3</f>
        <v>360147.42</v>
      </c>
      <c r="U40" s="26">
        <f>'[432]Part 8 - 11'!$E$3</f>
        <v>169037.25</v>
      </c>
      <c r="V40" s="26">
        <f>'[432]Part 8 - 11'!$F$3</f>
        <v>126730.68</v>
      </c>
      <c r="W40" s="26">
        <f>'[432]Part 8 - 11'!$G$3</f>
        <v>0</v>
      </c>
      <c r="X40" s="26">
        <f>'[432]Part 8 - 11'!$I$3</f>
        <v>6833.85</v>
      </c>
      <c r="Y40" s="26">
        <f>'[432]Part 8 - 11'!$M$13</f>
        <v>0</v>
      </c>
      <c r="Z40" s="26">
        <f t="shared" ref="Z40" si="616">Z39+Y40</f>
        <v>15364.84</v>
      </c>
      <c r="AA40" s="4">
        <f t="shared" ref="AA40" si="617">Z40/$D$4</f>
        <v>3.8412094775955113E-4</v>
      </c>
      <c r="AB40" s="2">
        <f>'[432]Part 12 - 13 - Deemed Default'!$V$4</f>
        <v>25414883.379999988</v>
      </c>
      <c r="AC40" s="8">
        <f t="shared" ref="AC40" si="618">+AB40/$AB$4</f>
        <v>0.72201373238636324</v>
      </c>
      <c r="AD40" s="2">
        <f t="shared" ref="AD40" si="619">AB40*$AD$2</f>
        <v>21660411.971590895</v>
      </c>
      <c r="AE40" s="2">
        <f>'[432]Part 12 - 13 - Deemed Default'!$V$5</f>
        <v>3164470.0599999996</v>
      </c>
      <c r="AF40" s="8">
        <f t="shared" ref="AF40" si="620">+AE40/$AE$4</f>
        <v>0.79111751499999994</v>
      </c>
      <c r="AG40" s="2">
        <f>'[432]Part 12 - 13 - Deemed Default'!$V$6</f>
        <v>800000</v>
      </c>
      <c r="AH40" s="8">
        <f t="shared" ref="AH40" si="621">+AG40/$AG$4</f>
        <v>1</v>
      </c>
      <c r="AI40" s="8">
        <f t="shared" ref="AI40" si="622">+AB40/D40</f>
        <v>0.84113774276664666</v>
      </c>
      <c r="AJ40" s="2">
        <f>'[432]Part 5 - 7'!$C$45</f>
        <v>337223.7338483748</v>
      </c>
      <c r="AK40" s="4">
        <f t="shared" ref="AK40" si="623">((+D40+AJ40)-AB40)/D40</f>
        <v>0.17002310365768827</v>
      </c>
      <c r="AL40" s="4">
        <f t="shared" si="602"/>
        <v>0.97806547613171047</v>
      </c>
      <c r="AM40" s="4">
        <f t="shared" ref="AM40" si="624">+T40/$D40</f>
        <v>1.1919534840770596E-2</v>
      </c>
      <c r="AN40" s="4">
        <f t="shared" ref="AN40" si="625">+U40/$D40</f>
        <v>5.5945018036309951E-3</v>
      </c>
      <c r="AO40" s="4">
        <f t="shared" ref="AO40" si="626">+V40/$D40</f>
        <v>4.1943123059289145E-3</v>
      </c>
      <c r="AP40" s="4">
        <f t="shared" ref="AP40" si="627">+W40/$D40</f>
        <v>0</v>
      </c>
      <c r="AQ40" s="4">
        <f t="shared" ref="AQ40" si="628">+X40/$D40</f>
        <v>2.2617491795887403E-4</v>
      </c>
      <c r="AR40" s="4">
        <f t="shared" ref="AR40" si="629">+Y40/$D40</f>
        <v>0</v>
      </c>
    </row>
    <row r="41" spans="1:44" x14ac:dyDescent="0.25">
      <c r="A41">
        <f t="shared" si="108"/>
        <v>37</v>
      </c>
      <c r="B41" s="3">
        <f t="shared" si="609"/>
        <v>44648</v>
      </c>
      <c r="C41" s="41">
        <f>'[433]Part 1'!$C$17</f>
        <v>674</v>
      </c>
      <c r="D41" s="2">
        <f>'[433]Part 1'!$C$21</f>
        <v>29942438.530000001</v>
      </c>
      <c r="E41" s="32">
        <f>'[433]Part 1'!$E$25</f>
        <v>7.5300000000000006E-2</v>
      </c>
      <c r="F41" s="8">
        <f t="shared" ref="F41" si="630">+D41/D$4</f>
        <v>0.74856086144572287</v>
      </c>
      <c r="G41" s="2">
        <f>'[433]Part 2 - 3'!$C$48</f>
        <v>19580.900000000001</v>
      </c>
      <c r="H41" s="8"/>
      <c r="I41" s="8"/>
      <c r="J41" s="8"/>
      <c r="K41" s="8"/>
      <c r="L41" s="8"/>
      <c r="M41" s="8"/>
      <c r="N41" s="6">
        <f t="shared" ref="N41" si="631">G41/D40</f>
        <v>6.480546765089835E-4</v>
      </c>
      <c r="O41" s="6">
        <f t="shared" ref="O41" si="632">1-(+N41-1)^12</f>
        <v>7.7489975665514521E-3</v>
      </c>
      <c r="P41" s="20">
        <f t="shared" ref="P41" si="633">AVERAGE(O39:O41)</f>
        <v>2.9145908695710914E-2</v>
      </c>
      <c r="Q41" s="20">
        <f t="shared" ref="Q41" si="634">AVERAGE(O36:O41)</f>
        <v>2.8740770661004261E-2</v>
      </c>
      <c r="R41" s="17">
        <f t="shared" ref="R41" si="635">AVERAGE(O30:O41)</f>
        <v>4.7253712844861635E-2</v>
      </c>
      <c r="S41" s="26">
        <f>'[433]Part 8 - 11'!$C$3</f>
        <v>29054605.829999998</v>
      </c>
      <c r="T41" s="26">
        <f>'[433]Part 8 - 11'!$D$3</f>
        <v>491832.06</v>
      </c>
      <c r="U41" s="26">
        <f>'[433]Part 8 - 11'!$E$3</f>
        <v>272624.33</v>
      </c>
      <c r="V41" s="26">
        <f>'[433]Part 8 - 11'!$F$3</f>
        <v>123376.31</v>
      </c>
      <c r="W41" s="26">
        <f>'[433]Part 8 - 11'!$G$3</f>
        <v>0</v>
      </c>
      <c r="X41" s="26">
        <f>'[433]Part 8 - 11'!$I$3</f>
        <v>0</v>
      </c>
      <c r="Y41" s="26">
        <f>'[433]Part 8 - 11'!$M$13</f>
        <v>0</v>
      </c>
      <c r="Z41" s="26">
        <f t="shared" ref="Z41" si="636">Z40+Y41</f>
        <v>15364.84</v>
      </c>
      <c r="AA41" s="4">
        <f t="shared" ref="AA41" si="637">Z41/$D$4</f>
        <v>3.8412094775955113E-4</v>
      </c>
      <c r="AB41" s="2">
        <f>'[433]Part 12 - 13 - Deemed Default'!$V$4</f>
        <v>25142433.089999989</v>
      </c>
      <c r="AC41" s="8">
        <f t="shared" ref="AC41" si="638">+AB41/$AB$4</f>
        <v>0.71427366732954511</v>
      </c>
      <c r="AD41" s="2">
        <f t="shared" ref="AD41" si="639">AB41*$AD$2</f>
        <v>21428210.019886352</v>
      </c>
      <c r="AE41" s="2">
        <f>'[433]Part 12 - 13 - Deemed Default'!$V$5</f>
        <v>3158966.4899999998</v>
      </c>
      <c r="AF41" s="8">
        <f t="shared" ref="AF41" si="640">+AE41/$AE$4</f>
        <v>0.78974162249999991</v>
      </c>
      <c r="AG41" s="2">
        <f>'[433]Part 12 - 13 - Deemed Default'!$V$6</f>
        <v>800000</v>
      </c>
      <c r="AH41" s="8">
        <f t="shared" ref="AH41" si="641">+AG41/$AG$4</f>
        <v>1</v>
      </c>
      <c r="AI41" s="8">
        <f t="shared" ref="AI41" si="642">+AB41/D41</f>
        <v>0.83969223364387036</v>
      </c>
      <c r="AJ41" s="2">
        <f>'[433]Part 5 - 7'!$C$45</f>
        <v>333608.65906293737</v>
      </c>
      <c r="AK41" s="4">
        <f t="shared" ref="AK41" si="643">((+D41+AJ41)-AB41)/D41</f>
        <v>0.17144943268129167</v>
      </c>
      <c r="AL41" s="4">
        <f t="shared" si="602"/>
        <v>0.97034868422254705</v>
      </c>
      <c r="AM41" s="4">
        <f t="shared" ref="AM41" si="644">+T41/$D41</f>
        <v>1.6425918667486699E-2</v>
      </c>
      <c r="AN41" s="4">
        <f t="shared" ref="AN41" si="645">+U41/$D41</f>
        <v>9.1049474720254191E-3</v>
      </c>
      <c r="AO41" s="4">
        <f t="shared" ref="AO41" si="646">+V41/$D41</f>
        <v>4.1204496379406942E-3</v>
      </c>
      <c r="AP41" s="4">
        <f t="shared" ref="AP41" si="647">+W41/$D41</f>
        <v>0</v>
      </c>
      <c r="AQ41" s="4">
        <f t="shared" ref="AQ41" si="648">+X41/$D41</f>
        <v>0</v>
      </c>
      <c r="AR41" s="4">
        <f t="shared" ref="AR41" si="649">+Y41/$D41</f>
        <v>0</v>
      </c>
    </row>
    <row r="42" spans="1:44" x14ac:dyDescent="0.25">
      <c r="A42">
        <f t="shared" si="108"/>
        <v>38</v>
      </c>
      <c r="B42" s="3">
        <f t="shared" si="609"/>
        <v>44676</v>
      </c>
      <c r="C42" s="41">
        <f>'[434]Part 1'!$C$17</f>
        <v>669</v>
      </c>
      <c r="D42" s="2">
        <f>'[434]Part 1'!$C$21</f>
        <v>29471296.309999999</v>
      </c>
      <c r="E42" s="32">
        <f>'[433]Part 1'!$E$25</f>
        <v>7.5300000000000006E-2</v>
      </c>
      <c r="F42" s="8">
        <f t="shared" ref="F42" si="650">+D42/D$4</f>
        <v>0.73678230754760621</v>
      </c>
      <c r="G42" s="2">
        <f>'[434]Part 2 - 3'!$C$48</f>
        <v>268507.57</v>
      </c>
      <c r="H42" s="8"/>
      <c r="I42" s="8"/>
      <c r="J42" s="8"/>
      <c r="K42" s="8"/>
      <c r="L42" s="8"/>
      <c r="M42" s="8"/>
      <c r="N42" s="6">
        <f t="shared" ref="N42" si="651">G42/D41</f>
        <v>8.967458336133053E-3</v>
      </c>
      <c r="O42" s="6">
        <f t="shared" ref="O42:O47" si="652">1-(+N42-1)^12</f>
        <v>0.1024575807169521</v>
      </c>
      <c r="P42" s="20">
        <f t="shared" ref="P42:P47" si="653">AVERAGE(O40:O42)</f>
        <v>5.5746735192222729E-2</v>
      </c>
      <c r="Q42" s="20">
        <f t="shared" ref="Q42:Q47" si="654">AVERAGE(O37:O42)</f>
        <v>4.0593341257425287E-2</v>
      </c>
      <c r="R42" s="17">
        <f t="shared" ref="R42" si="655">AVERAGE(O31:O42)</f>
        <v>4.7647020414088692E-2</v>
      </c>
      <c r="S42" s="26">
        <f>'[434]Part 8 - 11'!$C$3</f>
        <v>28684474.930000003</v>
      </c>
      <c r="T42" s="26">
        <f>'[434]Part 8 - 11'!$D$3</f>
        <v>430298.75</v>
      </c>
      <c r="U42" s="26">
        <f>'[434]Part 8 - 11'!$E$3</f>
        <v>233146.32</v>
      </c>
      <c r="V42" s="26">
        <f>'[434]Part 8 - 11'!$F$3</f>
        <v>93620.91</v>
      </c>
      <c r="W42" s="26">
        <f>'[434]Part 8 - 11'!$G$3</f>
        <v>29755.4</v>
      </c>
      <c r="X42" s="26">
        <f>'[434]Part 8 - 11'!$I$3</f>
        <v>0</v>
      </c>
      <c r="Y42" s="26">
        <f>'[434]Part 8 - 11'!$M$13</f>
        <v>0</v>
      </c>
      <c r="Z42" s="26">
        <f t="shared" ref="Z42" si="656">Z41+Y42</f>
        <v>15364.84</v>
      </c>
      <c r="AA42" s="4">
        <f t="shared" ref="AA42" si="657">Z42/$D$4</f>
        <v>3.8412094775955113E-4</v>
      </c>
      <c r="AB42" s="2">
        <f>'[434]Part 12 - 13 - Deemed Default'!$V$4</f>
        <v>24671290.86999999</v>
      </c>
      <c r="AC42" s="8">
        <f t="shared" ref="AC42" si="658">+AB42/$AB$4</f>
        <v>0.7008889451704543</v>
      </c>
      <c r="AD42" s="2">
        <f t="shared" ref="AD42" si="659">AB42*$AD$2</f>
        <v>21026668.355113626</v>
      </c>
      <c r="AE42" s="2">
        <f>'[434]Part 12 - 13 - Deemed Default'!$V$5</f>
        <v>3131837.44</v>
      </c>
      <c r="AF42" s="8">
        <f t="shared" ref="AF42" si="660">+AE42/$AE$4</f>
        <v>0.78295935999999999</v>
      </c>
      <c r="AG42" s="2">
        <f>'[434]Part 12 - 13 - Deemed Default'!$V$6</f>
        <v>800000</v>
      </c>
      <c r="AH42" s="8">
        <f t="shared" ref="AH42" si="661">+AG42/$AG$4</f>
        <v>1</v>
      </c>
      <c r="AI42" s="8">
        <f t="shared" ref="AI42" si="662">+AB42/D42</f>
        <v>0.83712947711868024</v>
      </c>
      <c r="AJ42" s="2">
        <f>'[434]Part 5 - 7'!$C$45</f>
        <v>327357.19073131232</v>
      </c>
      <c r="AK42" s="4">
        <f t="shared" ref="AK42" si="663">((+D42+AJ42)-AB42)/D42</f>
        <v>0.17397818463083825</v>
      </c>
      <c r="AL42" s="4">
        <f t="shared" si="602"/>
        <v>0.97330211159619007</v>
      </c>
      <c r="AM42" s="4">
        <f t="shared" ref="AM42" si="664">+T42/$D42</f>
        <v>1.4600604787580856E-2</v>
      </c>
      <c r="AN42" s="4">
        <f t="shared" ref="AN42" si="665">+U42/$D42</f>
        <v>7.9109625022123781E-3</v>
      </c>
      <c r="AO42" s="4">
        <f t="shared" ref="AO42" si="666">+V42/$D42</f>
        <v>3.1766811006624504E-3</v>
      </c>
      <c r="AP42" s="4">
        <f t="shared" ref="AP42" si="667">+W42/$D42</f>
        <v>1.0096400133544042E-3</v>
      </c>
      <c r="AQ42" s="4">
        <f t="shared" ref="AQ42" si="668">+X42/$D42</f>
        <v>0</v>
      </c>
      <c r="AR42" s="4">
        <f t="shared" ref="AR42" si="669">+Y42/$D42</f>
        <v>0</v>
      </c>
    </row>
    <row r="43" spans="1:44" x14ac:dyDescent="0.25">
      <c r="A43">
        <f t="shared" si="108"/>
        <v>39</v>
      </c>
      <c r="B43" s="3">
        <f t="shared" si="609"/>
        <v>44704</v>
      </c>
      <c r="C43" s="41">
        <f>'[435]Part 1'!$C$17</f>
        <v>666</v>
      </c>
      <c r="D43" s="2">
        <f>'[435]Part 1'!$C$21</f>
        <v>29267274.23</v>
      </c>
      <c r="E43" s="32">
        <f>'[433]Part 1'!$E$25</f>
        <v>7.5300000000000006E-2</v>
      </c>
      <c r="F43" s="8">
        <f t="shared" ref="F43" si="670">+D43/D$4</f>
        <v>0.73168175624128118</v>
      </c>
      <c r="G43" s="2">
        <f>'[435]Part 2 - 3'!$C$48</f>
        <v>109966.84</v>
      </c>
      <c r="H43" s="8"/>
      <c r="I43" s="8"/>
      <c r="J43" s="8"/>
      <c r="K43" s="8"/>
      <c r="L43" s="8"/>
      <c r="M43" s="8"/>
      <c r="N43" s="6">
        <f t="shared" ref="N43" si="671">G43/D42</f>
        <v>3.73132009000523E-3</v>
      </c>
      <c r="O43" s="6">
        <f t="shared" si="652"/>
        <v>4.3868273275405323E-2</v>
      </c>
      <c r="P43" s="20">
        <f t="shared" si="653"/>
        <v>5.1358283852969623E-2</v>
      </c>
      <c r="Q43" s="20">
        <f t="shared" si="654"/>
        <v>4.2654663874737354E-2</v>
      </c>
      <c r="R43" s="17">
        <f t="shared" ref="R43" si="672">AVERAGE(O32:O43)</f>
        <v>5.0384178283704915E-2</v>
      </c>
      <c r="S43" s="26">
        <f>'[435]Part 8 - 11'!$C$3</f>
        <v>28425440.440000001</v>
      </c>
      <c r="T43" s="26">
        <f>'[435]Part 8 - 11'!$D$3</f>
        <v>488432.97</v>
      </c>
      <c r="U43" s="26">
        <f>'[435]Part 8 - 11'!$E$3</f>
        <v>221041.27</v>
      </c>
      <c r="V43" s="26">
        <f>'[435]Part 8 - 11'!$F$3</f>
        <v>77915.5</v>
      </c>
      <c r="W43" s="26">
        <f>'[435]Part 8 - 11'!$G$3</f>
        <v>24688.65</v>
      </c>
      <c r="X43" s="26">
        <f>'[435]Part 8 - 11'!$I$3</f>
        <v>29755.4</v>
      </c>
      <c r="Y43" s="26">
        <f>'[435]Part 8 - 11'!$M$13</f>
        <v>0</v>
      </c>
      <c r="Z43" s="26">
        <f t="shared" ref="Z43" si="673">Z42+Y43</f>
        <v>15364.84</v>
      </c>
      <c r="AA43" s="4">
        <f t="shared" ref="AA43" si="674">Z43/$D$4</f>
        <v>3.8412094775955113E-4</v>
      </c>
      <c r="AB43" s="2">
        <f>'[435]Part 12 - 13 - Deemed Default'!$V$4</f>
        <v>24424078.149999991</v>
      </c>
      <c r="AC43" s="8">
        <f t="shared" ref="AC43" si="675">+AB43/$AB$4</f>
        <v>0.69386585653409061</v>
      </c>
      <c r="AD43" s="2">
        <f t="shared" ref="AD43" si="676">AB43*$AD$2</f>
        <v>20815975.696022719</v>
      </c>
      <c r="AE43" s="2">
        <f>'[435]Part 12 - 13 - Deemed Default'!$V$5</f>
        <v>3131837.44</v>
      </c>
      <c r="AF43" s="8">
        <f t="shared" ref="AF43" si="677">+AE43/$AE$4</f>
        <v>0.78295935999999999</v>
      </c>
      <c r="AG43" s="2">
        <f>'[435]Part 12 - 13 - Deemed Default'!$V$6</f>
        <v>800000</v>
      </c>
      <c r="AH43" s="8">
        <f t="shared" ref="AH43" si="678">+AG43/$AG$4</f>
        <v>1</v>
      </c>
      <c r="AI43" s="8">
        <f t="shared" ref="AI43" si="679">+AB43/D43</f>
        <v>0.83451837564580711</v>
      </c>
      <c r="AJ43" s="2">
        <f>'[435]Part 5 - 7'!$C$45</f>
        <v>324076.98695281235</v>
      </c>
      <c r="AK43" s="4">
        <f t="shared" ref="AK43" si="680">((+D43+AJ43)-AB43)/D43</f>
        <v>0.17655464005104313</v>
      </c>
      <c r="AL43" s="4">
        <f t="shared" si="602"/>
        <v>0.97123634461534214</v>
      </c>
      <c r="AM43" s="4">
        <f t="shared" ref="AM43" si="681">+T43/$D43</f>
        <v>1.6688707194308473E-2</v>
      </c>
      <c r="AN43" s="4">
        <f t="shared" ref="AN43" si="682">+U43/$D43</f>
        <v>7.5525061972947522E-3</v>
      </c>
      <c r="AO43" s="4">
        <f t="shared" ref="AO43" si="683">+V43/$D43</f>
        <v>2.6622055538104684E-3</v>
      </c>
      <c r="AP43" s="4">
        <f t="shared" ref="AP43" si="684">+W43/$D43</f>
        <v>8.4355822841517827E-4</v>
      </c>
      <c r="AQ43" s="4">
        <f t="shared" ref="AQ43" si="685">+X43/$D43</f>
        <v>1.016678210829065E-3</v>
      </c>
      <c r="AR43" s="4">
        <f t="shared" ref="AR43" si="686">+Y43/$D43</f>
        <v>0</v>
      </c>
    </row>
    <row r="44" spans="1:44" x14ac:dyDescent="0.25">
      <c r="A44">
        <f t="shared" si="108"/>
        <v>40</v>
      </c>
      <c r="B44" s="3">
        <f t="shared" si="609"/>
        <v>44732</v>
      </c>
      <c r="C44" s="41">
        <f>'[436]Part 1'!$C$17</f>
        <v>663</v>
      </c>
      <c r="D44" s="2">
        <f>'[436]Part 1'!$C$21</f>
        <v>29024135.59</v>
      </c>
      <c r="E44" s="32">
        <f>'[433]Part 1'!$E$25</f>
        <v>7.5300000000000006E-2</v>
      </c>
      <c r="F44" s="8">
        <f t="shared" ref="F44" si="687">+D44/D$4</f>
        <v>0.72560329106795241</v>
      </c>
      <c r="G44" s="2">
        <f>'[436]Part 2 - 3'!$C$48</f>
        <v>64003.19</v>
      </c>
      <c r="H44" s="8"/>
      <c r="I44" s="8"/>
      <c r="J44" s="8"/>
      <c r="K44" s="8"/>
      <c r="L44" s="8"/>
      <c r="M44" s="8"/>
      <c r="N44" s="6">
        <f t="shared" ref="N44" si="688">G44/D43</f>
        <v>2.1868517545236394E-3</v>
      </c>
      <c r="O44" s="6">
        <f t="shared" si="652"/>
        <v>2.5928877423259E-2</v>
      </c>
      <c r="P44" s="20">
        <f t="shared" si="653"/>
        <v>5.7418243805205472E-2</v>
      </c>
      <c r="Q44" s="20">
        <f t="shared" si="654"/>
        <v>4.3282076250458192E-2</v>
      </c>
      <c r="R44" s="17">
        <f t="shared" ref="R44" si="689">AVERAGE(O33:O44)</f>
        <v>4.8952584186277355E-2</v>
      </c>
      <c r="S44" s="26">
        <f>'[436]Part 8 - 11'!$C$3</f>
        <v>28424667.539999999</v>
      </c>
      <c r="T44" s="26">
        <f>'[436]Part 8 - 11'!$D$3</f>
        <v>257958.58</v>
      </c>
      <c r="U44" s="26">
        <f>'[436]Part 8 - 11'!$E$3</f>
        <v>104349.5</v>
      </c>
      <c r="V44" s="26">
        <f>'[436]Part 8 - 11'!$F$3</f>
        <v>147678.93</v>
      </c>
      <c r="W44" s="26">
        <f>'[436]Part 8 - 11'!$G$3</f>
        <v>82808</v>
      </c>
      <c r="X44" s="26">
        <f>'[436]Part 8 - 11'!$I$3</f>
        <v>0</v>
      </c>
      <c r="Y44" s="26">
        <f>'[436]Part 8 - 11'!$M$13</f>
        <v>0</v>
      </c>
      <c r="Z44" s="26">
        <f t="shared" ref="Z44" si="690">Z43+Y44</f>
        <v>15364.84</v>
      </c>
      <c r="AA44" s="4">
        <f t="shared" ref="AA44" si="691">Z44/$D$4</f>
        <v>3.8412094775955113E-4</v>
      </c>
      <c r="AB44" s="2">
        <f>'[436]Part 12 - 13 - Deemed Default'!$V$4</f>
        <v>24174266.469999991</v>
      </c>
      <c r="AC44" s="8">
        <f t="shared" ref="AC44" si="692">+AB44/$AB$4</f>
        <v>0.68676893380681792</v>
      </c>
      <c r="AD44" s="2">
        <f t="shared" ref="AD44" si="693">AB44*$AD$2</f>
        <v>20603068.014204536</v>
      </c>
      <c r="AE44" s="2">
        <f>'[436]Part 12 - 13 - Deemed Default'!$V$5</f>
        <v>3110267.11</v>
      </c>
      <c r="AF44" s="8">
        <f t="shared" ref="AF44" si="694">+AE44/$AE$4</f>
        <v>0.77756677749999992</v>
      </c>
      <c r="AG44" s="2">
        <f>'[436]Part 12 - 13 - Deemed Default'!$V$6</f>
        <v>800000</v>
      </c>
      <c r="AH44" s="8">
        <f t="shared" ref="AH44" si="695">+AG44/$AG$4</f>
        <v>1</v>
      </c>
      <c r="AI44" s="8">
        <f t="shared" ref="AI44" si="696">+AB44/D44</f>
        <v>0.83290220289382244</v>
      </c>
      <c r="AJ44" s="2">
        <f>'[436]Part 5 - 7'!$C$45</f>
        <v>320762.29822381237</v>
      </c>
      <c r="AK44" s="4">
        <f t="shared" ref="AK44" si="697">((+D44+AJ44)-AB44)/D44</f>
        <v>0.178149368210825</v>
      </c>
      <c r="AL44" s="4">
        <f t="shared" si="602"/>
        <v>0.97934587756658142</v>
      </c>
      <c r="AM44" s="4">
        <f t="shared" ref="AM44" si="698">+T44/$D44</f>
        <v>8.887726533667286E-3</v>
      </c>
      <c r="AN44" s="4">
        <f t="shared" ref="AN44" si="699">+U44/$D44</f>
        <v>3.595266418061824E-3</v>
      </c>
      <c r="AO44" s="4">
        <f t="shared" ref="AO44" si="700">+V44/$D44</f>
        <v>5.0881422305262868E-3</v>
      </c>
      <c r="AP44" s="4">
        <f t="shared" ref="AP44" si="701">+W44/$D44</f>
        <v>2.8530737717656868E-3</v>
      </c>
      <c r="AQ44" s="4">
        <f t="shared" ref="AQ44" si="702">+X44/$D44</f>
        <v>0</v>
      </c>
      <c r="AR44" s="4">
        <f t="shared" ref="AR44" si="703">+Y44/$D44</f>
        <v>0</v>
      </c>
    </row>
    <row r="45" spans="1:44" x14ac:dyDescent="0.25">
      <c r="A45">
        <f t="shared" si="108"/>
        <v>41</v>
      </c>
      <c r="B45" s="3">
        <f t="shared" si="609"/>
        <v>44760</v>
      </c>
      <c r="C45" s="41">
        <f>'[437]Part 1'!$C$17</f>
        <v>661</v>
      </c>
      <c r="D45" s="2">
        <f>'[437]Part 1'!$C$21</f>
        <v>28877122.25</v>
      </c>
      <c r="E45" s="32">
        <f>'[433]Part 1'!$E$25</f>
        <v>7.5300000000000006E-2</v>
      </c>
      <c r="F45" s="8">
        <f t="shared" ref="F45" si="704">+D45/D$4</f>
        <v>0.72192795806779775</v>
      </c>
      <c r="G45" s="2">
        <f>'[437]Part 2 - 3'!$C$48</f>
        <v>68715.25</v>
      </c>
      <c r="H45" s="8"/>
      <c r="I45" s="8"/>
      <c r="J45" s="8"/>
      <c r="K45" s="8"/>
      <c r="L45" s="8"/>
      <c r="M45" s="8"/>
      <c r="N45" s="6">
        <f t="shared" ref="N45" si="705">G45/D44</f>
        <v>2.3675209822157533E-3</v>
      </c>
      <c r="O45" s="6">
        <f t="shared" si="652"/>
        <v>2.8043215495028639E-2</v>
      </c>
      <c r="P45" s="20">
        <f t="shared" si="653"/>
        <v>3.2613455397897652E-2</v>
      </c>
      <c r="Q45" s="20">
        <f t="shared" si="654"/>
        <v>4.4180095295060194E-2</v>
      </c>
      <c r="R45" s="17">
        <f t="shared" ref="R45" si="706">AVERAGE(O34:O45)</f>
        <v>4.7710970070069657E-2</v>
      </c>
      <c r="S45" s="26">
        <f>'[437]Part 8 - 11'!$C$3</f>
        <v>28079445.970000003</v>
      </c>
      <c r="T45" s="26">
        <f>'[437]Part 8 - 11'!$D$3</f>
        <v>439893.18</v>
      </c>
      <c r="U45" s="26">
        <f>'[437]Part 8 - 11'!$E$3</f>
        <v>211707.87</v>
      </c>
      <c r="V45" s="26">
        <f>'[437]Part 8 - 11'!$F$3</f>
        <v>56594.19</v>
      </c>
      <c r="W45" s="26">
        <f>'[437]Part 8 - 11'!$G$3</f>
        <v>62813.67</v>
      </c>
      <c r="X45" s="26">
        <f>'[437]Part 8 - 11'!$I$3</f>
        <v>19994.330000000002</v>
      </c>
      <c r="Y45" s="26">
        <f>'[437]Part 8 - 11'!$M$13</f>
        <v>0</v>
      </c>
      <c r="Z45" s="26">
        <f t="shared" ref="Z45" si="707">Z44+Y45</f>
        <v>15364.84</v>
      </c>
      <c r="AA45" s="4">
        <f t="shared" ref="AA45" si="708">Z45/$D$4</f>
        <v>3.8412094775955113E-4</v>
      </c>
      <c r="AB45" s="2">
        <f>'[437]Part 12 - 13 - Deemed Default'!$V$4</f>
        <v>24027253.129999992</v>
      </c>
      <c r="AC45" s="8">
        <f t="shared" ref="AC45" si="709">+AB45/$AB$4</f>
        <v>0.6825924184659089</v>
      </c>
      <c r="AD45" s="2">
        <f t="shared" ref="AD45" si="710">AB45*$AD$2</f>
        <v>20477772.553977262</v>
      </c>
      <c r="AE45" s="2">
        <f>'[437]Part 12 - 13 - Deemed Default'!$V$5</f>
        <v>3092164.7399999998</v>
      </c>
      <c r="AF45" s="8">
        <f t="shared" ref="AF45" si="711">+AE45/$AE$4</f>
        <v>0.77304118499999996</v>
      </c>
      <c r="AG45" s="2">
        <f>'[437]Part 12 - 13 - Deemed Default'!$V$6</f>
        <v>800000</v>
      </c>
      <c r="AH45" s="8">
        <f t="shared" ref="AH45" si="712">+AG45/$AG$4</f>
        <v>1</v>
      </c>
      <c r="AI45" s="8">
        <f t="shared" ref="AI45" si="713">+AB45/D45</f>
        <v>0.8320515085259228</v>
      </c>
      <c r="AJ45" s="2">
        <f>'[437]Part 5 - 7'!$C$45</f>
        <v>318811.61496868735</v>
      </c>
      <c r="AK45" s="4">
        <f t="shared" ref="AK45" si="714">((+D45+AJ45)-AB45)/D45</f>
        <v>0.1789887749278305</v>
      </c>
      <c r="AL45" s="4">
        <f t="shared" ref="AL45" si="715">+S45/$D45</f>
        <v>0.97237687768558734</v>
      </c>
      <c r="AM45" s="4">
        <f t="shared" ref="AM45" si="716">+T45/$D45</f>
        <v>1.5233276231325301E-2</v>
      </c>
      <c r="AN45" s="4">
        <f t="shared" ref="AN45" si="717">+U45/$D45</f>
        <v>7.3313354484275178E-3</v>
      </c>
      <c r="AO45" s="4">
        <f t="shared" ref="AO45" si="718">+V45/$D45</f>
        <v>1.9598279049429864E-3</v>
      </c>
      <c r="AP45" s="4">
        <f t="shared" ref="AP45" si="719">+W45/$D45</f>
        <v>2.17520532192227E-3</v>
      </c>
      <c r="AQ45" s="4">
        <f t="shared" ref="AQ45" si="720">+X45/$D45</f>
        <v>6.9239343958520669E-4</v>
      </c>
      <c r="AR45" s="4">
        <f t="shared" ref="AR45" si="721">+Y45/$D45</f>
        <v>0</v>
      </c>
    </row>
    <row r="46" spans="1:44" x14ac:dyDescent="0.25">
      <c r="A46">
        <f t="shared" si="108"/>
        <v>42</v>
      </c>
      <c r="B46" s="3">
        <f t="shared" si="609"/>
        <v>44788</v>
      </c>
      <c r="C46" s="41">
        <f>'[438]Part 1'!$C$17</f>
        <v>657</v>
      </c>
      <c r="D46" s="2">
        <f>'[438]Part 1'!$C$21</f>
        <v>28602395.710000001</v>
      </c>
      <c r="E46" s="32">
        <f>'[433]Part 1'!$E$25</f>
        <v>7.5300000000000006E-2</v>
      </c>
      <c r="F46" s="8">
        <f t="shared" ref="F46" si="722">+D46/D$4</f>
        <v>0.71505979550186782</v>
      </c>
      <c r="G46" s="2">
        <f>'[438]Part 2 - 3'!$C$48</f>
        <v>152584.79</v>
      </c>
      <c r="H46" s="8"/>
      <c r="I46" s="8"/>
      <c r="J46" s="8"/>
      <c r="K46" s="8"/>
      <c r="L46" s="8"/>
      <c r="M46" s="8"/>
      <c r="N46" s="6">
        <f t="shared" ref="N46" si="723">G46/D45</f>
        <v>5.283933373935833E-3</v>
      </c>
      <c r="O46" s="6">
        <f t="shared" si="652"/>
        <v>6.1596557016210585E-2</v>
      </c>
      <c r="P46" s="20">
        <f t="shared" si="653"/>
        <v>3.852288331149941E-2</v>
      </c>
      <c r="Q46" s="20">
        <f t="shared" si="654"/>
        <v>4.4940583582234517E-2</v>
      </c>
      <c r="R46" s="17">
        <f t="shared" ref="R46" si="724">AVERAGE(O35:O46)</f>
        <v>4.063459961150151E-2</v>
      </c>
      <c r="S46" s="26">
        <f>'[438]Part 8 - 11'!$C$3</f>
        <v>27594585.789999999</v>
      </c>
      <c r="T46" s="26">
        <f>'[438]Part 8 - 11'!$D$3</f>
        <v>527011.15</v>
      </c>
      <c r="U46" s="26">
        <f>'[438]Part 8 - 11'!$E$3</f>
        <v>265271.65000000002</v>
      </c>
      <c r="V46" s="26">
        <f>'[438]Part 8 - 11'!$F$3</f>
        <v>111487.85</v>
      </c>
      <c r="W46" s="26">
        <f>'[438]Part 8 - 11'!$G$3</f>
        <v>14558.23</v>
      </c>
      <c r="X46" s="26">
        <f>'[438]Part 8 - 11'!$I$3</f>
        <v>62813.67</v>
      </c>
      <c r="Y46" s="26">
        <f>'[438]Part 8 - 11'!$M$13</f>
        <v>19994.330000000002</v>
      </c>
      <c r="Z46" s="26">
        <f t="shared" ref="Z46" si="725">Z45+Y46</f>
        <v>35359.17</v>
      </c>
      <c r="AA46" s="4">
        <f t="shared" ref="AA46" si="726">Z46/$D$4</f>
        <v>8.8397912977883841E-4</v>
      </c>
      <c r="AB46" s="2">
        <f>'[438]Part 12 - 13 - Deemed Default'!$V$4</f>
        <v>23732532.25999999</v>
      </c>
      <c r="AC46" s="8">
        <f t="shared" ref="AC46" si="727">+AB46/$AB$4</f>
        <v>0.67421966647727249</v>
      </c>
      <c r="AD46" s="2">
        <f t="shared" ref="AD46" si="728">AB46*$AD$2</f>
        <v>20226589.994318172</v>
      </c>
      <c r="AE46" s="2">
        <f>'[438]Part 12 - 13 - Deemed Default'!$V$5</f>
        <v>3092164.7399999998</v>
      </c>
      <c r="AF46" s="8">
        <f t="shared" ref="AF46" si="729">+AE46/$AE$4</f>
        <v>0.77304118499999996</v>
      </c>
      <c r="AG46" s="2">
        <f>'[438]Part 12 - 13 - Deemed Default'!$V$6</f>
        <v>800000</v>
      </c>
      <c r="AH46" s="8">
        <f t="shared" ref="AH46" si="730">+AG46/$AG$4</f>
        <v>1</v>
      </c>
      <c r="AI46" s="8">
        <f t="shared" ref="AI46" si="731">+AB46/D46</f>
        <v>0.82973931626652508</v>
      </c>
      <c r="AJ46" s="2">
        <f>'[438]Part 5 - 7'!$C$45</f>
        <v>314901.03742487484</v>
      </c>
      <c r="AK46" s="4">
        <f t="shared" ref="AK46" si="732">((+D46+AJ46)-AB46)/D46</f>
        <v>0.18127028728618635</v>
      </c>
      <c r="AL46" s="4">
        <f t="shared" ref="AL46" si="733">+S46/$D46</f>
        <v>0.96476484242025751</v>
      </c>
      <c r="AM46" s="4">
        <f t="shared" ref="AM46" si="734">+T46/$D46</f>
        <v>1.8425419861446985E-2</v>
      </c>
      <c r="AN46" s="4">
        <f t="shared" ref="AN46" si="735">+U46/$D46</f>
        <v>9.2744556326537168E-3</v>
      </c>
      <c r="AO46" s="4">
        <f t="shared" ref="AO46" si="736">+V46/$D46</f>
        <v>3.8978500657908702E-3</v>
      </c>
      <c r="AP46" s="4">
        <f t="shared" ref="AP46" si="737">+W46/$D46</f>
        <v>5.0898638518276763E-4</v>
      </c>
      <c r="AQ46" s="4">
        <f t="shared" ref="AQ46" si="738">+X46/$D46</f>
        <v>2.1960982092852806E-3</v>
      </c>
      <c r="AR46" s="4">
        <f t="shared" ref="AR46" si="739">+Y46/$D46</f>
        <v>6.9904389138318091E-4</v>
      </c>
    </row>
    <row r="47" spans="1:44" x14ac:dyDescent="0.25">
      <c r="A47">
        <f t="shared" si="108"/>
        <v>43</v>
      </c>
      <c r="B47" s="3">
        <f t="shared" si="609"/>
        <v>44816</v>
      </c>
      <c r="C47" s="41">
        <f>'[439]Part 1'!$C$17</f>
        <v>653</v>
      </c>
      <c r="D47" s="2">
        <f>'[439]Part 1'!$C$21</f>
        <v>28338946.32</v>
      </c>
      <c r="E47" s="32">
        <f>'[433]Part 1'!$E$25</f>
        <v>7.5300000000000006E-2</v>
      </c>
      <c r="F47" s="8">
        <f t="shared" ref="F47" si="740">+D47/D$4</f>
        <v>0.70847356164759567</v>
      </c>
      <c r="G47" s="2">
        <f>'[439]Part 2 - 3'!$C$48</f>
        <v>168195.02299999999</v>
      </c>
      <c r="H47" s="8"/>
      <c r="I47" s="8"/>
      <c r="J47" s="8"/>
      <c r="K47" s="8"/>
      <c r="L47" s="8"/>
      <c r="M47" s="8"/>
      <c r="N47" s="6">
        <f t="shared" ref="N47" si="741">G47/D46</f>
        <v>5.880452277680903E-3</v>
      </c>
      <c r="O47" s="6">
        <f t="shared" si="652"/>
        <v>6.8327315275338196E-2</v>
      </c>
      <c r="P47" s="20">
        <f t="shared" si="653"/>
        <v>5.2655695928859138E-2</v>
      </c>
      <c r="Q47" s="20">
        <f t="shared" si="654"/>
        <v>5.5036969867032305E-2</v>
      </c>
      <c r="R47" s="17">
        <f t="shared" ref="R47" si="742">AVERAGE(O36:O47)</f>
        <v>4.1888870264018281E-2</v>
      </c>
      <c r="S47" s="26">
        <f>'[439]Part 8 - 11'!$C$3</f>
        <v>27497768.610000003</v>
      </c>
      <c r="T47" s="26">
        <f>'[439]Part 8 - 11'!$D$3</f>
        <v>411110.04</v>
      </c>
      <c r="U47" s="26">
        <f>'[439]Part 8 - 11'!$E$3</f>
        <v>145583.26</v>
      </c>
      <c r="V47" s="26">
        <f>'[439]Part 8 - 11'!$F$3</f>
        <v>180445.14</v>
      </c>
      <c r="W47" s="26">
        <f>'[439]Part 8 - 11'!$G$3</f>
        <v>62813.67</v>
      </c>
      <c r="X47" s="26">
        <f>'[439]Part 8 - 11'!$I$3</f>
        <v>14558.23</v>
      </c>
      <c r="Y47" s="26">
        <f>'[439]Part 8 - 11'!$M$13</f>
        <v>0</v>
      </c>
      <c r="Z47" s="26">
        <f t="shared" ref="Z47" si="743">Z46+Y47</f>
        <v>35359.17</v>
      </c>
      <c r="AA47" s="4">
        <f t="shared" ref="AA47" si="744">Z47/$D$4</f>
        <v>8.8397912977883841E-4</v>
      </c>
      <c r="AB47" s="2">
        <f>'[439]Part 12 - 13 - Deemed Default'!$V$4</f>
        <v>23469082.86999999</v>
      </c>
      <c r="AC47" s="8">
        <f t="shared" ref="AC47" si="745">+AB47/$AB$4</f>
        <v>0.66673530880681786</v>
      </c>
      <c r="AD47" s="2">
        <f t="shared" ref="AD47" si="746">AB47*$AD$2</f>
        <v>20002059.264204536</v>
      </c>
      <c r="AE47" s="2">
        <f>'[439]Part 12 - 13 - Deemed Default'!$V$5</f>
        <v>3063897.8099999996</v>
      </c>
      <c r="AF47" s="8">
        <f t="shared" ref="AF47" si="747">+AE47/$AE$4</f>
        <v>0.76597445249999985</v>
      </c>
      <c r="AG47" s="2">
        <f>'[439]Part 12 - 13 - Deemed Default'!$V$6</f>
        <v>800000</v>
      </c>
      <c r="AH47" s="8">
        <f t="shared" ref="AH47" si="748">+AG47/$AG$4</f>
        <v>1</v>
      </c>
      <c r="AI47" s="8">
        <f t="shared" ref="AI47" si="749">+AB47/D47</f>
        <v>0.82815650959601339</v>
      </c>
      <c r="AJ47" s="2">
        <f>'[439]Part 5 - 7'!$C$45</f>
        <v>311405.39333131234</v>
      </c>
      <c r="AK47" s="4">
        <f t="shared" ref="AK47" si="750">((+D47+AJ47)-AB47)/D47</f>
        <v>0.18283209209068865</v>
      </c>
      <c r="AL47" s="4">
        <f t="shared" ref="AL47" si="751">+S47/$D47</f>
        <v>0.97031725525354684</v>
      </c>
      <c r="AM47" s="4">
        <f t="shared" ref="AM47" si="752">+T47/$D47</f>
        <v>1.4506892223789638E-2</v>
      </c>
      <c r="AN47" s="4">
        <f t="shared" ref="AN47" si="753">+U47/$D47</f>
        <v>5.1372149957902881E-3</v>
      </c>
      <c r="AO47" s="4">
        <f t="shared" ref="AO47" si="754">+V47/$D47</f>
        <v>6.3673905854661995E-3</v>
      </c>
      <c r="AP47" s="4">
        <f t="shared" ref="AP47" si="755">+W47/$D47</f>
        <v>2.2165139554137098E-3</v>
      </c>
      <c r="AQ47" s="4">
        <f t="shared" ref="AQ47" si="756">+X47/$D47</f>
        <v>5.1371811201482952E-4</v>
      </c>
      <c r="AR47" s="4">
        <f t="shared" ref="AR47" si="757">+Y47/$D47</f>
        <v>0</v>
      </c>
    </row>
    <row r="48" spans="1:44" x14ac:dyDescent="0.25">
      <c r="A48">
        <f t="shared" si="108"/>
        <v>44</v>
      </c>
      <c r="B48" s="3">
        <f t="shared" si="609"/>
        <v>44844</v>
      </c>
      <c r="C48" s="41">
        <v>651</v>
      </c>
      <c r="D48" s="2">
        <v>28198771.52</v>
      </c>
      <c r="E48" s="32">
        <v>7.5300000000000006E-2</v>
      </c>
      <c r="F48" s="8">
        <f t="shared" ref="F48" si="758">+D48/D$4</f>
        <v>0.70496919212418985</v>
      </c>
      <c r="G48" s="2">
        <v>149.96</v>
      </c>
      <c r="H48" s="8"/>
      <c r="I48" s="8"/>
      <c r="J48" s="8"/>
      <c r="K48" s="8"/>
      <c r="L48" s="8"/>
      <c r="M48" s="8"/>
      <c r="N48" s="6">
        <f t="shared" ref="N48" si="759">G48/D47</f>
        <v>5.291657576349861E-6</v>
      </c>
      <c r="O48" s="6">
        <f t="shared" ref="O48" si="760">1-(+N48-1)^12</f>
        <v>6.3498042840670621E-5</v>
      </c>
      <c r="P48" s="20">
        <f t="shared" ref="P48" si="761">AVERAGE(O46:O48)</f>
        <v>4.3329123444796482E-2</v>
      </c>
      <c r="Q48" s="20">
        <f t="shared" ref="Q48" si="762">AVERAGE(O43:O48)</f>
        <v>3.7971289421347067E-2</v>
      </c>
      <c r="R48" s="17">
        <f t="shared" ref="R48:R53" si="763">AVERAGE(O37:O48)</f>
        <v>3.9282315339386177E-2</v>
      </c>
      <c r="S48" s="26">
        <v>27014501.359999999</v>
      </c>
      <c r="T48" s="26">
        <v>542133.79</v>
      </c>
      <c r="U48" s="26">
        <v>325813.86</v>
      </c>
      <c r="V48" s="26">
        <v>170692.4</v>
      </c>
      <c r="W48" s="26">
        <v>38590384</v>
      </c>
      <c r="X48" s="26">
        <v>62813.67</v>
      </c>
      <c r="Y48" s="26">
        <v>14558.23</v>
      </c>
      <c r="Z48" s="26">
        <f t="shared" ref="Z48" si="764">Z47+Y48</f>
        <v>49917.399999999994</v>
      </c>
      <c r="AA48" s="4">
        <f t="shared" ref="AA48" si="765">Z48/$D$4</f>
        <v>1.247934830280863E-3</v>
      </c>
      <c r="AB48" s="2">
        <v>23314349.829999998</v>
      </c>
      <c r="AC48" s="8">
        <f t="shared" ref="AC48" si="766">+AB48/$AB$4</f>
        <v>0.66233948380681817</v>
      </c>
      <c r="AD48" s="2">
        <f t="shared" ref="AD48" si="767">AB48*$AD$2</f>
        <v>19870184.514204543</v>
      </c>
      <c r="AE48" s="2">
        <v>3059891.86</v>
      </c>
      <c r="AF48" s="8">
        <f t="shared" ref="AF48" si="768">+AE48/$AE$4</f>
        <v>0.764972965</v>
      </c>
      <c r="AG48" s="2">
        <v>800000</v>
      </c>
      <c r="AH48" s="8">
        <f t="shared" ref="AH48" si="769">+AG48/$AG$4</f>
        <v>1</v>
      </c>
      <c r="AI48" s="8">
        <f t="shared" ref="AI48" si="770">+AB48/D48</f>
        <v>0.82678601135032703</v>
      </c>
      <c r="AJ48" s="2">
        <v>309352.28000000003</v>
      </c>
      <c r="AK48" s="4">
        <f t="shared" ref="AK48" si="771">((+D48+AJ48)-AB48)/D48</f>
        <v>0.18418440556235985</v>
      </c>
      <c r="AL48" s="4">
        <f t="shared" ref="AL48" si="772">+S48/$D48</f>
        <v>0.95800277472513096</v>
      </c>
      <c r="AM48" s="4">
        <f t="shared" ref="AM48" si="773">+T48/$D48</f>
        <v>1.9225440002430292E-2</v>
      </c>
      <c r="AN48" s="4">
        <f t="shared" ref="AN48" si="774">+U48/$D48</f>
        <v>1.1554186315134909E-2</v>
      </c>
      <c r="AO48" s="4">
        <f t="shared" ref="AO48" si="775">+V48/$D48</f>
        <v>6.0531856814732615E-3</v>
      </c>
      <c r="AP48" s="4">
        <f t="shared" ref="AP48" si="776">+W48/$D48</f>
        <v>1.3685129500279734</v>
      </c>
      <c r="AQ48" s="4">
        <f t="shared" ref="AQ48" si="777">+X48/$D48</f>
        <v>2.227532144634363E-3</v>
      </c>
      <c r="AR48" s="4">
        <f t="shared" ref="AR48" si="778">+Y48/$D48</f>
        <v>5.1627178118999139E-4</v>
      </c>
    </row>
    <row r="49" spans="1:44" x14ac:dyDescent="0.25">
      <c r="A49">
        <f t="shared" si="108"/>
        <v>45</v>
      </c>
      <c r="B49" s="3">
        <f t="shared" si="609"/>
        <v>44872</v>
      </c>
      <c r="C49" s="41">
        <v>646</v>
      </c>
      <c r="D49" s="2">
        <v>27986725.899999999</v>
      </c>
      <c r="E49" s="32">
        <v>7.5300000000000006E-2</v>
      </c>
      <c r="F49" s="8">
        <f t="shared" ref="F49" si="779">+D49/D$4</f>
        <v>0.69966805234514484</v>
      </c>
      <c r="G49" s="2">
        <v>134680.69</v>
      </c>
      <c r="H49" s="8"/>
      <c r="I49" s="8"/>
      <c r="J49" s="8"/>
      <c r="K49" s="8"/>
      <c r="L49" s="8"/>
      <c r="M49" s="8"/>
      <c r="N49" s="6">
        <f t="shared" ref="N49" si="780">G49/D48</f>
        <v>4.776119055558063E-3</v>
      </c>
      <c r="O49" s="6">
        <f t="shared" ref="O49" si="781">1-(+N49-1)^12</f>
        <v>5.5831595275041446E-2</v>
      </c>
      <c r="P49" s="20">
        <f t="shared" ref="P49" si="782">AVERAGE(O47:O49)</f>
        <v>4.1407469531073438E-2</v>
      </c>
      <c r="Q49" s="20">
        <f t="shared" ref="Q49" si="783">AVERAGE(O44:O49)</f>
        <v>3.9965176421286421E-2</v>
      </c>
      <c r="R49" s="17">
        <f t="shared" si="763"/>
        <v>4.1309920148011887E-2</v>
      </c>
      <c r="S49" s="26">
        <v>26959532.199999999</v>
      </c>
      <c r="T49" s="26">
        <v>280556.44</v>
      </c>
      <c r="U49" s="26">
        <v>334775.45</v>
      </c>
      <c r="V49" s="26">
        <v>240393.60000000001</v>
      </c>
      <c r="W49" s="26">
        <v>56445.75</v>
      </c>
      <c r="X49" s="26">
        <v>10983.19</v>
      </c>
      <c r="Y49" s="26">
        <v>62813.67</v>
      </c>
      <c r="Z49" s="26">
        <f t="shared" ref="Z49" si="784">Z48+Y49</f>
        <v>112731.06999999999</v>
      </c>
      <c r="AA49" s="4">
        <f t="shared" ref="AA49" si="785">Z49/$D$4</f>
        <v>2.8182763667144142E-3</v>
      </c>
      <c r="AB49" s="2">
        <v>23060548.969999999</v>
      </c>
      <c r="AC49" s="8">
        <f t="shared" ref="AC49" si="786">+AB49/$AB$4</f>
        <v>0.6551292321022727</v>
      </c>
      <c r="AD49" s="2">
        <f t="shared" ref="AD49" si="787">AB49*$AD$2</f>
        <v>19653876.96306818</v>
      </c>
      <c r="AE49" s="2">
        <v>3059891.86</v>
      </c>
      <c r="AF49" s="8">
        <f t="shared" ref="AF49" si="788">+AE49/$AE$4</f>
        <v>0.764972965</v>
      </c>
      <c r="AG49" s="2">
        <v>800000</v>
      </c>
      <c r="AH49" s="8">
        <f t="shared" ref="AH49" si="789">+AG49/$AG$4</f>
        <v>1</v>
      </c>
      <c r="AI49" s="8">
        <f t="shared" ref="AI49" si="790">+AB49/D49</f>
        <v>0.82398166375009951</v>
      </c>
      <c r="AJ49" s="2">
        <v>305984.65999999997</v>
      </c>
      <c r="AK49" s="4">
        <f t="shared" ref="AK49" si="791">((+D49+AJ49)-AB49)/D49</f>
        <v>0.18695154298131031</v>
      </c>
      <c r="AL49" s="4">
        <f t="shared" ref="AL49" si="792">+S49/$D49</f>
        <v>0.96329711079208447</v>
      </c>
      <c r="AM49" s="4">
        <f t="shared" ref="AM49" si="793">+T49/$D49</f>
        <v>1.0024625281373125E-2</v>
      </c>
      <c r="AN49" s="4">
        <f t="shared" ref="AN49" si="794">+U49/$D49</f>
        <v>1.1961936926677087E-2</v>
      </c>
      <c r="AO49" s="4">
        <f t="shared" ref="AO49" si="795">+V49/$D49</f>
        <v>8.589557808903971E-3</v>
      </c>
      <c r="AP49" s="4">
        <f t="shared" ref="AP49" si="796">+W49/$D49</f>
        <v>2.0168757932488273E-3</v>
      </c>
      <c r="AQ49" s="4">
        <f t="shared" ref="AQ49" si="797">+X49/$D49</f>
        <v>3.924428330503641E-4</v>
      </c>
      <c r="AR49" s="4">
        <f t="shared" ref="AR49" si="798">+Y49/$D49</f>
        <v>2.2444093755175556E-3</v>
      </c>
    </row>
    <row r="50" spans="1:44" x14ac:dyDescent="0.25">
      <c r="A50">
        <f t="shared" si="108"/>
        <v>46</v>
      </c>
      <c r="B50" s="3">
        <f t="shared" si="609"/>
        <v>44900</v>
      </c>
      <c r="C50" s="41">
        <v>643</v>
      </c>
      <c r="D50" s="2">
        <v>27747298.850000001</v>
      </c>
      <c r="E50" s="32">
        <v>7.5300000000000006E-2</v>
      </c>
      <c r="F50" s="8">
        <f t="shared" ref="F50" si="799">+D50/D$4</f>
        <v>0.69368237690919687</v>
      </c>
      <c r="G50" s="2">
        <v>144096.42000000001</v>
      </c>
      <c r="H50" s="8"/>
      <c r="I50" s="8"/>
      <c r="J50" s="8"/>
      <c r="K50" s="8"/>
      <c r="L50" s="8"/>
      <c r="M50" s="8"/>
      <c r="N50" s="6">
        <f t="shared" ref="N50" si="800">G50/D49</f>
        <v>5.1487416039616134E-3</v>
      </c>
      <c r="O50" s="6">
        <f t="shared" ref="O50" si="801">1-(+N50-1)^12</f>
        <v>6.006495255498101E-2</v>
      </c>
      <c r="P50" s="20">
        <f t="shared" ref="P50" si="802">AVERAGE(O48:O50)</f>
        <v>3.8653348624287709E-2</v>
      </c>
      <c r="Q50" s="20">
        <f t="shared" ref="Q50" si="803">AVERAGE(O45:O50)</f>
        <v>4.5654522276573427E-2</v>
      </c>
      <c r="R50" s="17">
        <f t="shared" si="763"/>
        <v>4.4468299263515809E-2</v>
      </c>
      <c r="S50" s="26">
        <v>26561514.969999999</v>
      </c>
      <c r="T50" s="26">
        <v>392709.92</v>
      </c>
      <c r="U50" s="26">
        <v>300016.95</v>
      </c>
      <c r="V50" s="26">
        <v>206408.27</v>
      </c>
      <c r="W50" s="26">
        <v>159534.32</v>
      </c>
      <c r="X50" s="26">
        <v>74905.63</v>
      </c>
      <c r="Y50" s="26">
        <v>10983.19</v>
      </c>
      <c r="Z50" s="26">
        <f t="shared" ref="Z50" si="804">Z49+Y50</f>
        <v>123714.26</v>
      </c>
      <c r="AA50" s="4">
        <f t="shared" ref="AA50" si="805">Z50/$D$4</f>
        <v>3.0928560793715733E-3</v>
      </c>
      <c r="AB50" s="2">
        <v>22851893.98</v>
      </c>
      <c r="AC50" s="8">
        <f t="shared" ref="AC50" si="806">+AB50/$AB$4</f>
        <v>0.64920153352272725</v>
      </c>
      <c r="AD50" s="2">
        <f t="shared" ref="AD50" si="807">AB50*$AD$2</f>
        <v>19476046.005681816</v>
      </c>
      <c r="AE50" s="2">
        <v>3017903.18</v>
      </c>
      <c r="AF50" s="8">
        <f t="shared" ref="AF50" si="808">+AE50/$AE$4</f>
        <v>0.75447579500000006</v>
      </c>
      <c r="AG50" s="2">
        <v>800000</v>
      </c>
      <c r="AH50" s="8">
        <f t="shared" ref="AH50" si="809">+AG50/$AG$4</f>
        <v>1</v>
      </c>
      <c r="AI50" s="8">
        <f t="shared" ref="AI50" si="810">+AB50/D50</f>
        <v>0.82357184039916009</v>
      </c>
      <c r="AJ50" s="2">
        <v>303216.07</v>
      </c>
      <c r="AK50" s="4">
        <f t="shared" ref="AK50" si="811">((+D50+AJ50)-AB50)/D50</f>
        <v>0.18735592852130906</v>
      </c>
      <c r="AL50" s="4">
        <f t="shared" ref="AL50" si="812">+S50/$D50</f>
        <v>0.9572648895876219</v>
      </c>
      <c r="AM50" s="4">
        <f t="shared" ref="AM50" si="813">+T50/$D50</f>
        <v>1.4153086472415312E-2</v>
      </c>
      <c r="AN50" s="4">
        <f t="shared" ref="AN50" si="814">+U50/$D50</f>
        <v>1.0812474094212597E-2</v>
      </c>
      <c r="AO50" s="4">
        <f t="shared" ref="AO50" si="815">+V50/$D50</f>
        <v>7.4388599451005654E-3</v>
      </c>
      <c r="AP50" s="4">
        <f t="shared" ref="AP50" si="816">+W50/$D50</f>
        <v>5.7495441578811549E-3</v>
      </c>
      <c r="AQ50" s="4">
        <f t="shared" ref="AQ50" si="817">+X50/$D50</f>
        <v>2.6995647542103003E-3</v>
      </c>
      <c r="AR50" s="4">
        <f t="shared" ref="AR50" si="818">+Y50/$D50</f>
        <v>3.9582916014183485E-4</v>
      </c>
    </row>
    <row r="51" spans="1:44" x14ac:dyDescent="0.25">
      <c r="A51">
        <f t="shared" si="108"/>
        <v>47</v>
      </c>
      <c r="B51" s="3">
        <f t="shared" si="609"/>
        <v>44928</v>
      </c>
      <c r="C51" s="41">
        <v>639</v>
      </c>
      <c r="D51" s="2">
        <v>27566856.350000001</v>
      </c>
      <c r="E51" s="32">
        <v>7.5300000000000006E-2</v>
      </c>
      <c r="F51" s="8">
        <f t="shared" ref="F51" si="819">+D51/D$4</f>
        <v>0.68917131502270124</v>
      </c>
      <c r="G51" s="2">
        <v>37323.94</v>
      </c>
      <c r="H51" s="8"/>
      <c r="I51" s="8"/>
      <c r="J51" s="8"/>
      <c r="K51" s="8"/>
      <c r="L51" s="8"/>
      <c r="M51" s="8"/>
      <c r="N51" s="6">
        <f t="shared" ref="N51" si="820">G51/D50</f>
        <v>1.3451377808618658E-3</v>
      </c>
      <c r="O51" s="6">
        <f t="shared" ref="O51" si="821">1-(+N51-1)^12</f>
        <v>1.6022767095389523E-2</v>
      </c>
      <c r="P51" s="20">
        <f t="shared" ref="P51" si="822">AVERAGE(O49:O51)</f>
        <v>4.3973104975137324E-2</v>
      </c>
      <c r="Q51" s="20">
        <f t="shared" ref="Q51" si="823">AVERAGE(O46:O51)</f>
        <v>4.3651114209966903E-2</v>
      </c>
      <c r="R51" s="17">
        <f t="shared" si="763"/>
        <v>4.3915604752513548E-2</v>
      </c>
      <c r="S51" s="26">
        <v>26528667.18</v>
      </c>
      <c r="T51" s="26">
        <v>291076.01</v>
      </c>
      <c r="U51" s="26">
        <v>236968.38</v>
      </c>
      <c r="V51" s="26">
        <v>196853.96</v>
      </c>
      <c r="W51" s="26">
        <v>163231.93</v>
      </c>
      <c r="X51" s="26">
        <v>117844.43</v>
      </c>
      <c r="Y51" s="26">
        <v>0</v>
      </c>
      <c r="Z51" s="26">
        <f t="shared" ref="Z51" si="824">Z50+Y51</f>
        <v>123714.26</v>
      </c>
      <c r="AA51" s="4">
        <f t="shared" ref="AA51" si="825">Z51/$D$4</f>
        <v>3.0928560793715733E-3</v>
      </c>
      <c r="AB51" s="2">
        <v>22691445.809999999</v>
      </c>
      <c r="AC51" s="8">
        <f t="shared" ref="AC51" si="826">+AB51/$AB$4</f>
        <v>0.64464334687499991</v>
      </c>
      <c r="AD51" s="2">
        <f t="shared" ref="AD51" si="827">AB51*$AD$2</f>
        <v>19339300.406249996</v>
      </c>
      <c r="AE51" s="2">
        <v>2968433.9</v>
      </c>
      <c r="AF51" s="8">
        <f t="shared" ref="AF51" si="828">+AE51/$AE$4</f>
        <v>0.74210847499999999</v>
      </c>
      <c r="AG51" s="2">
        <v>800000</v>
      </c>
      <c r="AH51" s="8">
        <f t="shared" ref="AH51" si="829">+AG51/$AG$4</f>
        <v>1</v>
      </c>
      <c r="AI51" s="8">
        <f t="shared" ref="AI51" si="830">+AB51/D51</f>
        <v>0.82314230980494074</v>
      </c>
      <c r="AJ51" s="2">
        <v>303216.06</v>
      </c>
      <c r="AK51" s="4">
        <f t="shared" ref="AK51" si="831">((+D51+AJ51)-AB51)/D51</f>
        <v>0.18785698790787225</v>
      </c>
      <c r="AL51" s="4">
        <f t="shared" ref="AL51" si="832">+S51/$D51</f>
        <v>0.96233922516159509</v>
      </c>
      <c r="AM51" s="4">
        <f t="shared" ref="AM51" si="833">+T51/$D51</f>
        <v>1.0558911988526395E-2</v>
      </c>
      <c r="AN51" s="4">
        <f t="shared" ref="AN51" si="834">+U51/$D51</f>
        <v>8.5961335957699791E-3</v>
      </c>
      <c r="AO51" s="4">
        <f t="shared" ref="AO51" si="835">+V51/$D51</f>
        <v>7.1409651322102956E-3</v>
      </c>
      <c r="AP51" s="4">
        <f t="shared" ref="AP51" si="836">+W51/$D51</f>
        <v>5.9213110094071351E-3</v>
      </c>
      <c r="AQ51" s="4">
        <f t="shared" ref="AQ51" si="837">+X51/$D51</f>
        <v>4.2748592187589057E-3</v>
      </c>
      <c r="AR51" s="4">
        <f t="shared" ref="AR51" si="838">+Y51/$D51</f>
        <v>0</v>
      </c>
    </row>
    <row r="52" spans="1:44" x14ac:dyDescent="0.25">
      <c r="A52">
        <f t="shared" si="108"/>
        <v>48</v>
      </c>
      <c r="B52" s="3">
        <f t="shared" ref="B52:B57" si="839">+B51+30</f>
        <v>44958</v>
      </c>
      <c r="C52" s="41">
        <v>637</v>
      </c>
      <c r="D52" s="2">
        <v>27295845.59</v>
      </c>
      <c r="E52" s="32">
        <v>7.5300000000000006E-2</v>
      </c>
      <c r="F52" s="8">
        <f t="shared" ref="F52" si="840">+D52/D$4</f>
        <v>0.68239604694413769</v>
      </c>
      <c r="G52" s="2">
        <v>156856.87</v>
      </c>
      <c r="H52" s="8"/>
      <c r="I52" s="8"/>
      <c r="J52" s="8"/>
      <c r="K52" s="8"/>
      <c r="L52" s="8"/>
      <c r="M52" s="8"/>
      <c r="N52" s="6">
        <f t="shared" ref="N52" si="841">G52/D51</f>
        <v>5.6900528666918521E-3</v>
      </c>
      <c r="O52" s="6">
        <f t="shared" ref="O52" si="842">1-(+N52-1)^12</f>
        <v>6.618378743326947E-2</v>
      </c>
      <c r="P52" s="20">
        <f t="shared" ref="P52" si="843">AVERAGE(O50:O52)</f>
        <v>4.7423835694546668E-2</v>
      </c>
      <c r="Q52" s="20">
        <f t="shared" ref="Q52" si="844">AVERAGE(O47:O52)</f>
        <v>4.4415652612810053E-2</v>
      </c>
      <c r="R52" s="17">
        <f t="shared" si="763"/>
        <v>4.4678118097522285E-2</v>
      </c>
      <c r="S52" s="26">
        <v>26054952.43</v>
      </c>
      <c r="T52" s="26">
        <v>507695.4</v>
      </c>
      <c r="U52" s="26">
        <v>258326.55</v>
      </c>
      <c r="V52" s="26">
        <v>122563.23</v>
      </c>
      <c r="W52" s="26">
        <v>127241.26</v>
      </c>
      <c r="X52" s="26">
        <v>168962.97</v>
      </c>
      <c r="Y52" s="26">
        <v>22619.82</v>
      </c>
      <c r="Z52" s="26">
        <f t="shared" ref="Z52" si="845">Z51+Y52</f>
        <v>146334.07999999999</v>
      </c>
      <c r="AA52" s="4">
        <f t="shared" ref="AA52" si="846">Z52/$D$4</f>
        <v>3.6583515024641955E-3</v>
      </c>
      <c r="AB52" s="2">
        <v>22396545.760000002</v>
      </c>
      <c r="AC52" s="8">
        <f t="shared" ref="AC52" si="847">+AB52/$AB$4</f>
        <v>0.63626550454545461</v>
      </c>
      <c r="AD52" s="2">
        <f t="shared" ref="AD52" si="848">AB52*$AD$2</f>
        <v>19087965.136363637</v>
      </c>
      <c r="AE52" s="2">
        <v>2968376.63</v>
      </c>
      <c r="AF52" s="8">
        <f t="shared" ref="AF52" si="849">+AE52/$AE$4</f>
        <v>0.74209415749999996</v>
      </c>
      <c r="AG52" s="2">
        <v>800000</v>
      </c>
      <c r="AH52" s="8">
        <f t="shared" ref="AH52" si="850">+AG52/$AG$4</f>
        <v>1</v>
      </c>
      <c r="AI52" s="8">
        <f t="shared" ref="AI52" si="851">+AB52/D52</f>
        <v>0.82051115383672568</v>
      </c>
      <c r="AJ52" s="2">
        <v>301087.11</v>
      </c>
      <c r="AK52" s="4">
        <f t="shared" ref="AK52" si="852">((+D52+AJ52)-AB52)/D52</f>
        <v>0.19051935661246527</v>
      </c>
      <c r="AL52" s="4">
        <f t="shared" ref="AL52" si="853">+S52/$D52</f>
        <v>0.95453912003170882</v>
      </c>
      <c r="AM52" s="4">
        <f t="shared" ref="AM52" si="854">+T52/$D52</f>
        <v>1.8599731535190005E-2</v>
      </c>
      <c r="AN52" s="4">
        <f t="shared" ref="AN52" si="855">+U52/$D52</f>
        <v>9.4639511770479648E-3</v>
      </c>
      <c r="AO52" s="4">
        <f t="shared" ref="AO52" si="856">+V52/$D52</f>
        <v>4.490178902715576E-3</v>
      </c>
      <c r="AP52" s="4">
        <f t="shared" ref="AP52" si="857">+W52/$D52</f>
        <v>4.6615613933065191E-3</v>
      </c>
      <c r="AQ52" s="4">
        <f t="shared" ref="AQ52" si="858">+X52/$D52</f>
        <v>6.1900617602372657E-3</v>
      </c>
      <c r="AR52" s="4">
        <f t="shared" ref="AR52" si="859">+Y52/$D52</f>
        <v>8.2869094219550064E-4</v>
      </c>
    </row>
    <row r="53" spans="1:44" x14ac:dyDescent="0.25">
      <c r="A53">
        <f t="shared" si="108"/>
        <v>49</v>
      </c>
      <c r="B53" s="3">
        <f t="shared" si="839"/>
        <v>44988</v>
      </c>
      <c r="C53" s="41">
        <v>635</v>
      </c>
      <c r="D53" s="2">
        <v>27111740.449999999</v>
      </c>
      <c r="E53" s="32">
        <v>7.5300000000000006E-2</v>
      </c>
      <c r="F53" s="8">
        <f t="shared" ref="F53" si="860">+D53/D$4</f>
        <v>0.67779341907009505</v>
      </c>
      <c r="G53" s="2">
        <v>103687.28</v>
      </c>
      <c r="H53" s="8"/>
      <c r="I53" s="8"/>
      <c r="J53" s="8"/>
      <c r="K53" s="8"/>
      <c r="L53" s="8"/>
      <c r="M53" s="8"/>
      <c r="N53" s="6">
        <f t="shared" ref="N53" si="861">G53/D52</f>
        <v>3.798646928087345E-3</v>
      </c>
      <c r="O53" s="6">
        <f t="shared" ref="O53" si="862">1-(+N53-1)^12</f>
        <v>4.4643358222715257E-2</v>
      </c>
      <c r="P53" s="20">
        <f t="shared" ref="P53" si="863">AVERAGE(O51:O53)</f>
        <v>4.2283304250458086E-2</v>
      </c>
      <c r="Q53" s="20">
        <f t="shared" ref="Q53" si="864">AVERAGE(O48:O53)</f>
        <v>4.0468326437372894E-2</v>
      </c>
      <c r="R53" s="17">
        <f t="shared" si="763"/>
        <v>4.7752648152202599E-2</v>
      </c>
      <c r="S53" s="26">
        <v>25912356.949999999</v>
      </c>
      <c r="T53" s="26">
        <v>520051.74</v>
      </c>
      <c r="U53" s="26">
        <v>193216.1</v>
      </c>
      <c r="V53" s="26">
        <v>158749.15</v>
      </c>
      <c r="W53" s="26">
        <v>176049.51</v>
      </c>
      <c r="X53" s="26">
        <v>0</v>
      </c>
      <c r="Y53" s="26">
        <v>57088.23</v>
      </c>
      <c r="Z53" s="26">
        <f t="shared" ref="Z53" si="865">Z52+Y53</f>
        <v>203422.31</v>
      </c>
      <c r="AA53" s="4">
        <f t="shared" ref="AA53" si="866">Z53/$D$4</f>
        <v>5.0855570583642406E-3</v>
      </c>
      <c r="AB53" s="2">
        <v>22168204.300000001</v>
      </c>
      <c r="AC53" s="8">
        <f t="shared" ref="AC53" si="867">+AB53/$AB$4</f>
        <v>0.62977853125000005</v>
      </c>
      <c r="AD53" s="2">
        <f t="shared" ref="AD53" si="868">AB53*$AD$2</f>
        <v>18893355.9375</v>
      </c>
      <c r="AE53" s="2">
        <v>2968376.63</v>
      </c>
      <c r="AF53" s="8">
        <f t="shared" ref="AF53" si="869">+AE53/$AE$4</f>
        <v>0.74209415749999996</v>
      </c>
      <c r="AG53" s="2">
        <v>800000</v>
      </c>
      <c r="AH53" s="8">
        <f t="shared" ref="AH53" si="870">+AG53/$AG$4</f>
        <v>1</v>
      </c>
      <c r="AI53" s="8">
        <f t="shared" ref="AI53" si="871">+AB53/D53</f>
        <v>0.81766068618438703</v>
      </c>
      <c r="AJ53" s="2">
        <v>297174.18</v>
      </c>
      <c r="AK53" s="4">
        <f t="shared" ref="AK53" si="872">((+D53+AJ53)-AB53)/D53</f>
        <v>0.19330040207728524</v>
      </c>
      <c r="AL53" s="4">
        <f t="shared" ref="AL53" si="873">+S53/$D53</f>
        <v>0.95576147159523284</v>
      </c>
      <c r="AM53" s="4">
        <f t="shared" ref="AM53" si="874">+T53/$D53</f>
        <v>1.918179103842815E-2</v>
      </c>
      <c r="AN53" s="4">
        <f t="shared" ref="AN53" si="875">+U53/$D53</f>
        <v>7.1266579272670789E-3</v>
      </c>
      <c r="AO53" s="4">
        <f t="shared" ref="AO53" si="876">+V53/$D53</f>
        <v>5.8553655119548036E-3</v>
      </c>
      <c r="AP53" s="4">
        <f t="shared" ref="AP53" si="877">+W53/$D53</f>
        <v>6.493478732015525E-3</v>
      </c>
      <c r="AQ53" s="4">
        <f t="shared" ref="AQ53" si="878">+X53/$D53</f>
        <v>0</v>
      </c>
      <c r="AR53" s="4">
        <f t="shared" ref="AR53" si="879">+Y53/$D53</f>
        <v>2.1056645221756687E-3</v>
      </c>
    </row>
    <row r="54" spans="1:44" x14ac:dyDescent="0.25">
      <c r="A54">
        <f t="shared" si="108"/>
        <v>50</v>
      </c>
      <c r="B54" s="3">
        <f t="shared" si="839"/>
        <v>45018</v>
      </c>
      <c r="C54" s="41">
        <v>632</v>
      </c>
      <c r="D54" s="2">
        <v>26928054.559999999</v>
      </c>
      <c r="E54" s="32">
        <v>7.5300000000000006E-2</v>
      </c>
      <c r="F54" s="8">
        <f t="shared" ref="F54" si="880">+D54/D$4</f>
        <v>0.67320127244462691</v>
      </c>
      <c r="G54" s="2">
        <v>77544.87</v>
      </c>
      <c r="H54" s="8"/>
      <c r="I54" s="8"/>
      <c r="J54" s="8"/>
      <c r="K54" s="8"/>
      <c r="L54" s="8"/>
      <c r="M54" s="8"/>
      <c r="N54" s="6">
        <f t="shared" ref="N54" si="881">G54/D53</f>
        <v>2.8601952037350668E-3</v>
      </c>
      <c r="O54" s="6">
        <f t="shared" ref="O54" si="882">1-(+N54-1)^12</f>
        <v>3.3787529830853424E-2</v>
      </c>
      <c r="P54" s="20">
        <f t="shared" ref="P54" si="883">AVERAGE(O52:O54)</f>
        <v>4.820489182894605E-2</v>
      </c>
      <c r="Q54" s="20">
        <f t="shared" ref="Q54" si="884">AVERAGE(O49:O54)</f>
        <v>4.6088998402041691E-2</v>
      </c>
      <c r="R54" s="17">
        <f t="shared" ref="R54" si="885">AVERAGE(O43:O54)</f>
        <v>4.2030143911694379E-2</v>
      </c>
      <c r="S54" s="26">
        <v>25745344.969999999</v>
      </c>
      <c r="T54" s="26">
        <v>486064.72</v>
      </c>
      <c r="U54" s="26">
        <v>215214.36</v>
      </c>
      <c r="V54" s="26">
        <v>94793.52</v>
      </c>
      <c r="W54" s="26">
        <v>88108.58</v>
      </c>
      <c r="X54" s="26">
        <v>185336.43</v>
      </c>
      <c r="Y54" s="26">
        <v>0</v>
      </c>
      <c r="Z54" s="26">
        <f t="shared" ref="Z54" si="886">Z53+Y54</f>
        <v>203422.31</v>
      </c>
      <c r="AA54" s="4">
        <f t="shared" ref="AA54" si="887">Z54/$D$4</f>
        <v>5.0855570583642406E-3</v>
      </c>
      <c r="AB54" s="2">
        <v>21971666.5</v>
      </c>
      <c r="AC54" s="8">
        <f t="shared" ref="AC54" si="888">+AB54/$AB$4</f>
        <v>0.62419507102272731</v>
      </c>
      <c r="AD54" s="2">
        <f t="shared" ref="AD54" si="889">AB54*$AD$2</f>
        <v>18725852.130681816</v>
      </c>
      <c r="AE54" s="2">
        <v>2968319.71</v>
      </c>
      <c r="AF54" s="8">
        <f t="shared" ref="AF54" si="890">+AE54/$AE$4</f>
        <v>0.74207992749999996</v>
      </c>
      <c r="AG54" s="2">
        <v>800000</v>
      </c>
      <c r="AH54" s="8">
        <f t="shared" ref="AH54" si="891">+AG54/$AG$4</f>
        <v>1</v>
      </c>
      <c r="AI54" s="8">
        <f t="shared" ref="AI54" si="892">+AB54/D54</f>
        <v>0.81593961609976773</v>
      </c>
      <c r="AJ54" s="2">
        <v>294144.36</v>
      </c>
      <c r="AK54" s="4">
        <f t="shared" ref="AK54" si="893">((+D54+AJ54)-AB54)/D54</f>
        <v>0.19498372629559907</v>
      </c>
      <c r="AL54" s="4">
        <f t="shared" ref="AL54" si="894">+S54/$D54</f>
        <v>0.95607890694945175</v>
      </c>
      <c r="AM54" s="4">
        <f t="shared" ref="AM54" si="895">+T54/$D54</f>
        <v>1.8050495215574162E-2</v>
      </c>
      <c r="AN54" s="4">
        <f t="shared" ref="AN54" si="896">+U54/$D54</f>
        <v>7.9921986016653398E-3</v>
      </c>
      <c r="AO54" s="4">
        <f t="shared" ref="AO54" si="897">+V54/$D54</f>
        <v>3.5202513344877897E-3</v>
      </c>
      <c r="AP54" s="4">
        <f t="shared" ref="AP54" si="898">+W54/$D54</f>
        <v>3.2719994607735229E-3</v>
      </c>
      <c r="AQ54" s="4">
        <f t="shared" ref="AQ54" si="899">+X54/$D54</f>
        <v>6.8826520529747474E-3</v>
      </c>
      <c r="AR54" s="4">
        <f t="shared" ref="AR54" si="900">+Y54/$D54</f>
        <v>0</v>
      </c>
    </row>
    <row r="55" spans="1:44" x14ac:dyDescent="0.25">
      <c r="A55">
        <f t="shared" si="108"/>
        <v>51</v>
      </c>
      <c r="B55" s="3">
        <f t="shared" si="839"/>
        <v>45048</v>
      </c>
      <c r="C55" s="41">
        <v>627</v>
      </c>
      <c r="D55" s="2">
        <v>26686202.940000001</v>
      </c>
      <c r="E55" s="32">
        <v>7.5300000000000006E-2</v>
      </c>
      <c r="F55" s="8">
        <f t="shared" ref="F55" si="901">+D55/D$4</f>
        <v>0.66715498276692242</v>
      </c>
      <c r="G55" s="2">
        <v>103912</v>
      </c>
      <c r="H55" s="8"/>
      <c r="I55" s="8"/>
      <c r="J55" s="8"/>
      <c r="K55" s="8"/>
      <c r="L55" s="8"/>
      <c r="M55" s="8"/>
      <c r="N55" s="6">
        <f t="shared" ref="N55" si="902">G55/D54</f>
        <v>3.8588751284823601E-3</v>
      </c>
      <c r="O55" s="6">
        <f t="shared" ref="O55" si="903">1-(+N55-1)^12</f>
        <v>4.5336233598299747E-2</v>
      </c>
      <c r="P55" s="20">
        <f t="shared" ref="P55" si="904">AVERAGE(O53:O55)</f>
        <v>4.1255707217289474E-2</v>
      </c>
      <c r="Q55" s="20">
        <f t="shared" ref="Q55" si="905">AVERAGE(O50:O55)</f>
        <v>4.4339771455918074E-2</v>
      </c>
      <c r="R55" s="17">
        <f t="shared" ref="R55" si="906">AVERAGE(O44:O55)</f>
        <v>4.2152473938602247E-2</v>
      </c>
      <c r="S55" s="26">
        <v>25577393.68</v>
      </c>
      <c r="T55" s="26">
        <v>464419.47</v>
      </c>
      <c r="U55" s="26">
        <v>211419.28</v>
      </c>
      <c r="V55" s="26">
        <v>85938.86</v>
      </c>
      <c r="W55" s="26">
        <v>0</v>
      </c>
      <c r="X55" s="26">
        <v>121849.18</v>
      </c>
      <c r="Y55" s="26">
        <v>73865.47</v>
      </c>
      <c r="Z55" s="26">
        <f t="shared" ref="Z55" si="907">Z54+Y55</f>
        <v>277287.78000000003</v>
      </c>
      <c r="AA55" s="4">
        <f t="shared" ref="AA55" si="908">Z55/$D$4</f>
        <v>6.9321935572216773E-3</v>
      </c>
      <c r="AB55" s="2">
        <v>21705126.32</v>
      </c>
      <c r="AC55" s="8">
        <f t="shared" ref="AC55" si="909">+AB55/$AB$4</f>
        <v>0.61662290681818188</v>
      </c>
      <c r="AD55" s="2">
        <f t="shared" ref="AD55" si="910">AB55*$AD$2</f>
        <v>18498687.204545453</v>
      </c>
      <c r="AE55" s="2">
        <v>2968319.71</v>
      </c>
      <c r="AF55" s="8">
        <f t="shared" ref="AF55" si="911">+AE55/$AE$4</f>
        <v>0.74207992749999996</v>
      </c>
      <c r="AG55" s="2">
        <v>800000</v>
      </c>
      <c r="AH55" s="8">
        <f t="shared" ref="AH55" si="912">+AG55/$AG$4</f>
        <v>1</v>
      </c>
      <c r="AI55" s="8">
        <f t="shared" ref="AI55" si="913">+AB55/D55</f>
        <v>0.81334637111172325</v>
      </c>
      <c r="AJ55" s="2">
        <v>291536.55</v>
      </c>
      <c r="AK55" s="4">
        <f t="shared" ref="AK55" si="914">((+D55+AJ55)-AB55)/D55</f>
        <v>0.19757824602678381</v>
      </c>
      <c r="AL55" s="4">
        <f t="shared" ref="AL55" si="915">+S55/$D55</f>
        <v>0.95845009263801983</v>
      </c>
      <c r="AM55" s="4">
        <f t="shared" ref="AM55" si="916">+T55/$D55</f>
        <v>1.7402980523088234E-2</v>
      </c>
      <c r="AN55" s="4">
        <f t="shared" ref="AN55" si="917">+U55/$D55</f>
        <v>7.9224189546690145E-3</v>
      </c>
      <c r="AO55" s="4">
        <f t="shared" ref="AO55" si="918">+V55/$D55</f>
        <v>3.2203479900539196E-3</v>
      </c>
      <c r="AP55" s="4">
        <f t="shared" ref="AP55" si="919">+W55/$D55</f>
        <v>0</v>
      </c>
      <c r="AQ55" s="4">
        <f t="shared" ref="AQ55" si="920">+X55/$D55</f>
        <v>4.5659991522195922E-3</v>
      </c>
      <c r="AR55" s="4">
        <f t="shared" ref="AR55" si="921">+Y55/$D55</f>
        <v>2.7679273130791831E-3</v>
      </c>
    </row>
    <row r="56" spans="1:44" x14ac:dyDescent="0.25">
      <c r="A56">
        <f t="shared" si="108"/>
        <v>52</v>
      </c>
      <c r="B56" s="3">
        <f t="shared" si="839"/>
        <v>45078</v>
      </c>
      <c r="C56" s="41">
        <v>624</v>
      </c>
      <c r="D56" s="2">
        <v>26469213.98</v>
      </c>
      <c r="E56" s="32">
        <v>7.5300000000000006E-2</v>
      </c>
      <c r="F56" s="8">
        <f t="shared" ref="F56" si="922">+D56/D$4</f>
        <v>0.66173025950468478</v>
      </c>
      <c r="G56" s="2">
        <v>115450.97</v>
      </c>
      <c r="H56" s="8"/>
      <c r="I56" s="8"/>
      <c r="J56" s="8"/>
      <c r="K56" s="8"/>
      <c r="L56" s="8"/>
      <c r="M56" s="8"/>
      <c r="N56" s="6">
        <f t="shared" ref="N56" si="923">G56/D55</f>
        <v>4.3262419258211634E-3</v>
      </c>
      <c r="O56" s="6">
        <f t="shared" ref="O56" si="924">1-(+N56-1)^12</f>
        <v>5.0697264276165166E-2</v>
      </c>
      <c r="P56" s="20">
        <f t="shared" ref="P56" si="925">AVERAGE(O54:O56)</f>
        <v>4.3273675901772779E-2</v>
      </c>
      <c r="Q56" s="20">
        <f t="shared" ref="Q56" si="926">AVERAGE(O51:O56)</f>
        <v>4.2778490076115429E-2</v>
      </c>
      <c r="R56" s="17">
        <f t="shared" ref="R56" si="927">AVERAGE(O45:O56)</f>
        <v>4.4216506176344428E-2</v>
      </c>
      <c r="S56" s="26">
        <v>25560965.010000002</v>
      </c>
      <c r="T56" s="26">
        <v>271694.94</v>
      </c>
      <c r="U56" s="26">
        <v>217381.51</v>
      </c>
      <c r="V56" s="26">
        <v>92041.1</v>
      </c>
      <c r="W56" s="26">
        <v>0</v>
      </c>
      <c r="X56" s="26">
        <v>91265.72</v>
      </c>
      <c r="Y56" s="26">
        <v>48808.25</v>
      </c>
      <c r="Z56" s="26">
        <f t="shared" ref="Z56" si="928">Z55+Y56</f>
        <v>326096.03000000003</v>
      </c>
      <c r="AA56" s="4">
        <f t="shared" ref="AA56" si="929">Z56/$D$4</f>
        <v>8.1523996412736499E-3</v>
      </c>
      <c r="AB56" s="2">
        <v>21421461.41</v>
      </c>
      <c r="AC56" s="8">
        <f t="shared" ref="AC56" si="930">+AB56/$AB$4</f>
        <v>0.60856424460227276</v>
      </c>
      <c r="AD56" s="2">
        <f t="shared" ref="AD56" si="931">AB56*$AD$2</f>
        <v>18256927.33806818</v>
      </c>
      <c r="AE56" s="2">
        <v>2968319.71</v>
      </c>
      <c r="AF56" s="8">
        <f t="shared" ref="AF56" si="932">+AE56/$AE$4</f>
        <v>0.74207992749999996</v>
      </c>
      <c r="AG56" s="2">
        <v>800000</v>
      </c>
      <c r="AH56" s="8">
        <f t="shared" ref="AH56" si="933">+AG56/$AG$4</f>
        <v>1</v>
      </c>
      <c r="AI56" s="8">
        <f t="shared" ref="AI56" si="934">+AB56/D56</f>
        <v>0.80929722454871322</v>
      </c>
      <c r="AJ56" s="2">
        <v>287999.88</v>
      </c>
      <c r="AK56" s="4">
        <f t="shared" ref="AK56" si="935">((+D56+AJ56)-AB56)/D56</f>
        <v>0.20158333579650933</v>
      </c>
      <c r="AL56" s="4">
        <f t="shared" ref="AL56" si="936">+S56/$D56</f>
        <v>0.96568659081881814</v>
      </c>
      <c r="AM56" s="4">
        <f t="shared" ref="AM56" si="937">+T56/$D56</f>
        <v>1.0264563964962892E-2</v>
      </c>
      <c r="AN56" s="4">
        <f t="shared" ref="AN56" si="938">+U56/$D56</f>
        <v>8.2126167465438275E-3</v>
      </c>
      <c r="AO56" s="4">
        <f t="shared" ref="AO56" si="939">+V56/$D56</f>
        <v>3.4772887502268024E-3</v>
      </c>
      <c r="AP56" s="4">
        <f t="shared" ref="AP56" si="940">+W56/$D56</f>
        <v>0</v>
      </c>
      <c r="AQ56" s="4">
        <f t="shared" ref="AQ56" si="941">+X56/$D56</f>
        <v>3.4479950960750062E-3</v>
      </c>
      <c r="AR56" s="4">
        <f t="shared" ref="AR56" si="942">+Y56/$D56</f>
        <v>1.8439629539766182E-3</v>
      </c>
    </row>
    <row r="57" spans="1:44" x14ac:dyDescent="0.25">
      <c r="A57">
        <f t="shared" si="108"/>
        <v>53</v>
      </c>
      <c r="B57" s="3">
        <f t="shared" si="839"/>
        <v>45108</v>
      </c>
      <c r="C57" s="41">
        <v>624</v>
      </c>
      <c r="D57" s="2">
        <v>26363450.609999999</v>
      </c>
      <c r="E57" s="32">
        <v>7.5300000000000006E-2</v>
      </c>
      <c r="F57" s="8">
        <f t="shared" ref="F57" si="943">+D57/D$4</f>
        <v>0.65908617561428018</v>
      </c>
      <c r="G57" s="2">
        <v>0</v>
      </c>
      <c r="H57" s="8"/>
      <c r="I57" s="8"/>
      <c r="J57" s="8"/>
      <c r="K57" s="8"/>
      <c r="L57" s="8"/>
      <c r="M57" s="8"/>
      <c r="N57" s="6">
        <f t="shared" ref="N57" si="944">G57/D56</f>
        <v>0</v>
      </c>
      <c r="O57" s="6">
        <f t="shared" ref="O57" si="945">1-(+N57-1)^12</f>
        <v>0</v>
      </c>
      <c r="P57" s="20">
        <f t="shared" ref="P57" si="946">AVERAGE(O55:O57)</f>
        <v>3.2011165958154973E-2</v>
      </c>
      <c r="Q57" s="20">
        <f t="shared" ref="Q57" si="947">AVERAGE(O52:O57)</f>
        <v>4.0108028893550508E-2</v>
      </c>
      <c r="R57" s="17">
        <f t="shared" ref="R57" si="948">AVERAGE(O46:O57)</f>
        <v>4.1879571551758706E-2</v>
      </c>
      <c r="S57" s="26">
        <v>25655823.390000001</v>
      </c>
      <c r="T57" s="26">
        <v>151537.73000000001</v>
      </c>
      <c r="U57" s="26">
        <v>173920</v>
      </c>
      <c r="V57" s="26">
        <v>12179275</v>
      </c>
      <c r="W57" s="26">
        <v>7915.86</v>
      </c>
      <c r="X57" s="26">
        <v>0</v>
      </c>
      <c r="Y57" s="26">
        <v>53375.79</v>
      </c>
      <c r="Z57" s="26">
        <f t="shared" ref="Z57" si="949">Z56+Y57</f>
        <v>379471.82</v>
      </c>
      <c r="AA57" s="4">
        <f t="shared" ref="AA57" si="950">Z57/$D$4</f>
        <v>9.4867942097959877E-3</v>
      </c>
      <c r="AB57" s="2">
        <v>21283399.920000002</v>
      </c>
      <c r="AC57" s="8">
        <f t="shared" ref="AC57" si="951">+AB57/$AB$4</f>
        <v>0.60464204318181825</v>
      </c>
      <c r="AD57" s="2">
        <f t="shared" ref="AD57" si="952">AB57*$AD$2</f>
        <v>18139261.295454547</v>
      </c>
      <c r="AE57" s="2">
        <v>2968319.71</v>
      </c>
      <c r="AF57" s="8">
        <f t="shared" ref="AF57" si="953">+AE57/$AE$4</f>
        <v>0.74207992749999996</v>
      </c>
      <c r="AG57" s="2">
        <v>800000</v>
      </c>
      <c r="AH57" s="8">
        <f t="shared" ref="AH57" si="954">+AG57/$AG$4</f>
        <v>1</v>
      </c>
      <c r="AI57" s="8">
        <f t="shared" ref="AI57" si="955">+AB57/D57</f>
        <v>0.8073070644222472</v>
      </c>
      <c r="AJ57" s="2">
        <v>284236.02</v>
      </c>
      <c r="AK57" s="4">
        <f t="shared" ref="AK57" si="956">((+D57+AJ57)-AB57)/D57</f>
        <v>0.20347437781779801</v>
      </c>
      <c r="AL57" s="4">
        <f t="shared" ref="AL57" si="957">+S57/$D57</f>
        <v>0.97315877839862186</v>
      </c>
      <c r="AM57" s="4">
        <f t="shared" ref="AM57" si="958">+T57/$D57</f>
        <v>5.7480233616505338E-3</v>
      </c>
      <c r="AN57" s="4">
        <f t="shared" ref="AN57" si="959">+U57/$D57</f>
        <v>6.5970119986505059E-3</v>
      </c>
      <c r="AO57" s="4">
        <f t="shared" ref="AO57" si="960">+V57/$D57</f>
        <v>0.46197575500151877</v>
      </c>
      <c r="AP57" s="4">
        <f t="shared" ref="AP57" si="961">+W57/$D57</f>
        <v>3.0025887419294841E-4</v>
      </c>
      <c r="AQ57" s="4">
        <f t="shared" ref="AQ57" si="962">+X57/$D57</f>
        <v>0</v>
      </c>
      <c r="AR57" s="4">
        <f t="shared" ref="AR57" si="963">+Y57/$D57</f>
        <v>2.0246131961099913E-3</v>
      </c>
    </row>
    <row r="58" spans="1:44" x14ac:dyDescent="0.25">
      <c r="A58">
        <f t="shared" si="108"/>
        <v>54</v>
      </c>
      <c r="B58" s="3">
        <f t="shared" ref="B58:B63" si="964">+B57+31</f>
        <v>45139</v>
      </c>
      <c r="C58" s="41">
        <v>622</v>
      </c>
      <c r="D58" s="2">
        <v>26236083.25</v>
      </c>
      <c r="E58" s="32">
        <v>7.5300000000000006E-2</v>
      </c>
      <c r="F58" s="8">
        <f t="shared" ref="F58" si="965">+D58/D$4</f>
        <v>0.65590199204732913</v>
      </c>
      <c r="G58" s="2">
        <v>18129.18</v>
      </c>
      <c r="H58" s="8"/>
      <c r="I58" s="8"/>
      <c r="J58" s="8"/>
      <c r="K58" s="8"/>
      <c r="L58" s="8"/>
      <c r="M58" s="8"/>
      <c r="N58" s="6">
        <f t="shared" ref="N58" si="966">G58/D57</f>
        <v>6.8766339688186974E-4</v>
      </c>
      <c r="O58" s="6">
        <f t="shared" ref="O58" si="967">1-(+N58-1)^12</f>
        <v>8.2208220497270723E-3</v>
      </c>
      <c r="P58" s="20">
        <f t="shared" ref="P58" si="968">AVERAGE(O56:O58)</f>
        <v>1.9639362108630747E-2</v>
      </c>
      <c r="Q58" s="20">
        <f t="shared" ref="Q58" si="969">AVERAGE(O53:O58)</f>
        <v>3.0447534662960112E-2</v>
      </c>
      <c r="R58" s="17">
        <f t="shared" ref="R58" si="970">AVERAGE(O47:O58)</f>
        <v>3.7431593637885084E-2</v>
      </c>
      <c r="S58" s="26">
        <v>25362820.109999999</v>
      </c>
      <c r="T58" s="26">
        <v>318535.09000000003</v>
      </c>
      <c r="U58" s="26">
        <v>163816.1</v>
      </c>
      <c r="V58" s="26">
        <v>57922.42</v>
      </c>
      <c r="W58" s="26">
        <v>80528.649999999994</v>
      </c>
      <c r="X58" s="26">
        <v>0</v>
      </c>
      <c r="Y58" s="26">
        <v>0</v>
      </c>
      <c r="Z58" s="26">
        <f t="shared" ref="Z58" si="971">Z57+Y58</f>
        <v>379471.82</v>
      </c>
      <c r="AA58" s="4">
        <f t="shared" ref="AA58" si="972">Z58/$D$4</f>
        <v>9.4867942097959877E-3</v>
      </c>
      <c r="AB58" s="2">
        <v>21140426.289999999</v>
      </c>
      <c r="AC58" s="8">
        <f t="shared" ref="AC58" si="973">+AB58/$AB$4</f>
        <v>0.60058029232954546</v>
      </c>
      <c r="AD58" s="2">
        <f t="shared" ref="AD58" si="974">AB58*$AD$2</f>
        <v>18017408.76988636</v>
      </c>
      <c r="AE58" s="2">
        <v>2968304.88</v>
      </c>
      <c r="AF58" s="8">
        <f t="shared" ref="AF58" si="975">+AE58/$AE$4</f>
        <v>0.74207621999999995</v>
      </c>
      <c r="AG58" s="2">
        <v>800000</v>
      </c>
      <c r="AH58" s="8">
        <f t="shared" ref="AH58" si="976">+AG58/$AG$4</f>
        <v>1</v>
      </c>
      <c r="AI58" s="8">
        <f t="shared" ref="AI58" si="977">+AB58/D58</f>
        <v>0.8057767650969776</v>
      </c>
      <c r="AJ58" s="2">
        <v>282404.09999999998</v>
      </c>
      <c r="AK58" s="4">
        <f t="shared" ref="AK58" si="978">((+D58+AJ58)-AB58)/D58</f>
        <v>0.20498719297210655</v>
      </c>
      <c r="AL58" s="4">
        <f t="shared" ref="AL58" si="979">+S58/$D58</f>
        <v>0.96671518642173848</v>
      </c>
      <c r="AM58" s="4">
        <f t="shared" ref="AM58" si="980">+T58/$D58</f>
        <v>1.2141106847570322E-2</v>
      </c>
      <c r="AN58" s="4">
        <f t="shared" ref="AN58" si="981">+U58/$D58</f>
        <v>6.2439236237749017E-3</v>
      </c>
      <c r="AO58" s="4">
        <f t="shared" ref="AO58" si="982">+V58/$D58</f>
        <v>2.2077388399810022E-3</v>
      </c>
      <c r="AP58" s="4">
        <f t="shared" ref="AP58" si="983">+W58/$D58</f>
        <v>3.0693853664304099E-3</v>
      </c>
      <c r="AQ58" s="4">
        <f t="shared" ref="AQ58" si="984">+X58/$D58</f>
        <v>0</v>
      </c>
      <c r="AR58" s="4">
        <f t="shared" ref="AR58" si="985">+Y58/$D58</f>
        <v>0</v>
      </c>
    </row>
    <row r="59" spans="1:44" x14ac:dyDescent="0.25">
      <c r="A59">
        <f t="shared" si="108"/>
        <v>55</v>
      </c>
      <c r="B59" s="3">
        <f t="shared" si="964"/>
        <v>45170</v>
      </c>
      <c r="C59" s="41">
        <v>618</v>
      </c>
      <c r="D59" s="2">
        <v>26032397.350000001</v>
      </c>
      <c r="E59" s="32">
        <v>7.5300000000000006E-2</v>
      </c>
      <c r="F59" s="8">
        <f t="shared" ref="F59" si="986">+D59/D$4</f>
        <v>0.65080984523986107</v>
      </c>
      <c r="G59" s="2">
        <v>117123.88</v>
      </c>
      <c r="H59" s="8"/>
      <c r="I59" s="8"/>
      <c r="J59" s="8"/>
      <c r="K59" s="8"/>
      <c r="L59" s="8"/>
      <c r="M59" s="8"/>
      <c r="N59" s="6">
        <f t="shared" ref="N59" si="987">G59/D58</f>
        <v>4.4642288593134422E-3</v>
      </c>
      <c r="O59" s="6">
        <f t="shared" ref="O59" si="988">1-(+N59-1)^12</f>
        <v>5.2274787919998955E-2</v>
      </c>
      <c r="P59" s="20">
        <f t="shared" ref="P59" si="989">AVERAGE(O57:O59)</f>
        <v>2.0165203323242009E-2</v>
      </c>
      <c r="Q59" s="20">
        <f t="shared" ref="Q59" si="990">AVERAGE(O54:O59)</f>
        <v>3.1719439612507394E-2</v>
      </c>
      <c r="R59" s="17">
        <f t="shared" ref="R59" si="991">AVERAGE(O48:O59)</f>
        <v>3.6093883024940147E-2</v>
      </c>
      <c r="S59" s="26">
        <v>25199651.489999998</v>
      </c>
      <c r="T59" s="26">
        <v>340220.11</v>
      </c>
      <c r="U59" s="26">
        <v>146414.82</v>
      </c>
      <c r="V59" s="26">
        <v>69619.539999999994</v>
      </c>
      <c r="W59" s="26">
        <v>24030.5</v>
      </c>
      <c r="X59" s="26">
        <v>0</v>
      </c>
      <c r="Y59" s="26">
        <v>0</v>
      </c>
      <c r="Z59" s="26">
        <f t="shared" ref="Z59:Z61" si="992">Z58+Y59</f>
        <v>379471.82</v>
      </c>
      <c r="AA59" s="4">
        <f t="shared" ref="AA59" si="993">Z59/$D$4</f>
        <v>9.4867942097959877E-3</v>
      </c>
      <c r="AB59" s="2">
        <v>20936740.379999999</v>
      </c>
      <c r="AC59" s="8">
        <f t="shared" ref="AC59" si="994">+AB59/$AB$4</f>
        <v>0.59479376079545454</v>
      </c>
      <c r="AD59" s="2">
        <f t="shared" ref="AD59" si="995">AB59*$AD$2</f>
        <v>17843812.823863633</v>
      </c>
      <c r="AE59" s="2">
        <v>2941158.24</v>
      </c>
      <c r="AF59" s="8">
        <f t="shared" ref="AF59" si="996">+AE59/$AE$4</f>
        <v>0.73528956000000001</v>
      </c>
      <c r="AG59" s="2">
        <v>800000</v>
      </c>
      <c r="AH59" s="8">
        <f t="shared" ref="AH59" si="997">+AG59/$AG$4</f>
        <v>1</v>
      </c>
      <c r="AI59" s="8">
        <f t="shared" ref="AI59" si="998">+AB59/D59</f>
        <v>0.80425709927940991</v>
      </c>
      <c r="AJ59" s="2">
        <f>'[440]Sep-23'!$C$51</f>
        <v>280507.02</v>
      </c>
      <c r="AK59" s="4">
        <f t="shared" ref="AK59" si="999">((+D59+AJ59)-AB59)/D59</f>
        <v>0.20651820566959814</v>
      </c>
      <c r="AL59" s="4">
        <f t="shared" ref="AL59" si="1000">+S59/$D59</f>
        <v>0.96801117281655191</v>
      </c>
      <c r="AM59" s="4">
        <f t="shared" ref="AM59" si="1001">+T59/$D59</f>
        <v>1.3069104063902126E-2</v>
      </c>
      <c r="AN59" s="4">
        <f t="shared" ref="AN59" si="1002">+U59/$D59</f>
        <v>5.6243310222828941E-3</v>
      </c>
      <c r="AO59" s="4">
        <f t="shared" ref="AO59" si="1003">+V59/$D59</f>
        <v>2.6743422460859139E-3</v>
      </c>
      <c r="AP59" s="4">
        <f t="shared" ref="AP59" si="1004">+W59/$D59</f>
        <v>9.2309976975670275E-4</v>
      </c>
      <c r="AQ59" s="4">
        <f t="shared" ref="AQ59" si="1005">+X59/$D59</f>
        <v>0</v>
      </c>
      <c r="AR59" s="4">
        <f t="shared" ref="AR59" si="1006">+Y59/$D59</f>
        <v>0</v>
      </c>
    </row>
    <row r="60" spans="1:44" x14ac:dyDescent="0.25">
      <c r="A60">
        <f t="shared" si="108"/>
        <v>56</v>
      </c>
      <c r="B60" s="3">
        <f t="shared" si="964"/>
        <v>45201</v>
      </c>
      <c r="C60" s="41">
        <v>614</v>
      </c>
      <c r="D60" s="2">
        <v>25786103.16</v>
      </c>
      <c r="E60" s="32">
        <v>7.5300000000000006E-2</v>
      </c>
      <c r="F60" s="8">
        <f t="shared" ref="F60" si="1007">+D60/D$4</f>
        <v>0.64465249132726121</v>
      </c>
      <c r="G60" s="2">
        <v>137089.79</v>
      </c>
      <c r="H60" s="8"/>
      <c r="I60" s="8"/>
      <c r="J60" s="8"/>
      <c r="K60" s="8"/>
      <c r="L60" s="8"/>
      <c r="M60" s="8"/>
      <c r="N60" s="6">
        <f t="shared" ref="N60" si="1008">G60/D59</f>
        <v>5.2661223688643486E-3</v>
      </c>
      <c r="O60" s="6">
        <f t="shared" ref="O60" si="1009">1-(+N60-1)^12</f>
        <v>6.1394904844599196E-2</v>
      </c>
      <c r="P60" s="20">
        <f t="shared" ref="P60" si="1010">AVERAGE(O58:O60)</f>
        <v>4.0630171604775077E-2</v>
      </c>
      <c r="Q60" s="20">
        <f t="shared" ref="Q60" si="1011">AVERAGE(O55:O60)</f>
        <v>3.6320668781465025E-2</v>
      </c>
      <c r="R60" s="17">
        <f t="shared" ref="R60" si="1012">AVERAGE(O49:O60)</f>
        <v>4.1204833591753358E-2</v>
      </c>
      <c r="S60" s="26">
        <v>24955994.82</v>
      </c>
      <c r="T60" s="26">
        <v>290665.33</v>
      </c>
      <c r="U60" s="26">
        <v>264730.62</v>
      </c>
      <c r="V60" s="26">
        <v>96116.97</v>
      </c>
      <c r="W60" s="26">
        <v>0</v>
      </c>
      <c r="X60" s="26">
        <v>0</v>
      </c>
      <c r="Y60" s="26">
        <v>0</v>
      </c>
      <c r="Z60" s="26">
        <f t="shared" si="992"/>
        <v>379471.82</v>
      </c>
      <c r="AA60" s="4">
        <f t="shared" ref="AA60" si="1013">Z60/$D$4</f>
        <v>9.4867942097959877E-3</v>
      </c>
      <c r="AB60" s="2">
        <v>20764311.66</v>
      </c>
      <c r="AC60" s="8">
        <f t="shared" ref="AC60" si="1014">+AB60/$AB$4</f>
        <v>0.58989521761363639</v>
      </c>
      <c r="AD60" s="2">
        <f t="shared" ref="AD60" si="1015">AB60*$AD$2</f>
        <v>17696856.52840909</v>
      </c>
      <c r="AE60" s="2">
        <v>2843959.62</v>
      </c>
      <c r="AF60" s="8">
        <f t="shared" ref="AF60" si="1016">+AE60/$AE$4</f>
        <v>0.71098990500000003</v>
      </c>
      <c r="AG60" s="2">
        <v>800000</v>
      </c>
      <c r="AH60" s="8">
        <f t="shared" ref="AH60" si="1017">+AG60/$AG$4</f>
        <v>1</v>
      </c>
      <c r="AI60" s="8">
        <f t="shared" ref="AI60" si="1018">+AB60/D60</f>
        <v>0.80525202009623853</v>
      </c>
      <c r="AJ60" s="2">
        <v>277804.38</v>
      </c>
      <c r="AK60" s="4">
        <f t="shared" ref="AK60" si="1019">((+D60+AJ60)-AB60)/D60</f>
        <v>0.20552139449363774</v>
      </c>
      <c r="AL60" s="4">
        <f t="shared" ref="AL60" si="1020">+S60/$D60</f>
        <v>0.96780791828647905</v>
      </c>
      <c r="AM60" s="4">
        <f t="shared" ref="AM60" si="1021">+T60/$D60</f>
        <v>1.127216967203043E-2</v>
      </c>
      <c r="AN60" s="4">
        <f t="shared" ref="AN60" si="1022">+U60/$D60</f>
        <v>1.0266406612793525E-2</v>
      </c>
      <c r="AO60" s="4">
        <f t="shared" ref="AO60" si="1023">+V60/$D60</f>
        <v>3.7274717084471633E-3</v>
      </c>
      <c r="AP60" s="4">
        <f t="shared" ref="AP60" si="1024">+W60/$D60</f>
        <v>0</v>
      </c>
      <c r="AQ60" s="4">
        <f t="shared" ref="AQ60" si="1025">+X60/$D60</f>
        <v>0</v>
      </c>
      <c r="AR60" s="4">
        <f t="shared" ref="AR60" si="1026">+Y60/$D60</f>
        <v>0</v>
      </c>
    </row>
    <row r="61" spans="1:44" x14ac:dyDescent="0.25">
      <c r="A61">
        <f t="shared" si="108"/>
        <v>57</v>
      </c>
      <c r="B61" s="3">
        <f t="shared" si="964"/>
        <v>45232</v>
      </c>
      <c r="C61" s="41">
        <v>611</v>
      </c>
      <c r="D61" s="2">
        <v>25643414.120000001</v>
      </c>
      <c r="E61" s="32">
        <v>7.5300000000000006E-2</v>
      </c>
      <c r="F61" s="8">
        <f t="shared" ref="F61" si="1027">+D61/D$4</f>
        <v>0.64108526581240388</v>
      </c>
      <c r="G61" s="2">
        <v>51877.51</v>
      </c>
      <c r="H61" s="8"/>
      <c r="I61" s="8"/>
      <c r="J61" s="8"/>
      <c r="K61" s="8"/>
      <c r="L61" s="8"/>
      <c r="M61" s="8"/>
      <c r="N61" s="6">
        <f t="shared" ref="N61" si="1028">G61/D60</f>
        <v>2.0118398533545616E-3</v>
      </c>
      <c r="O61" s="6">
        <f t="shared" ref="O61" si="1029">1-(+N61-1)^12</f>
        <v>2.3876726626392952E-2</v>
      </c>
      <c r="P61" s="20">
        <f t="shared" ref="P61" si="1030">AVERAGE(O59:O61)</f>
        <v>4.5848806463663704E-2</v>
      </c>
      <c r="Q61" s="20">
        <f t="shared" ref="Q61" si="1031">AVERAGE(O56:O61)</f>
        <v>3.2744084286147224E-2</v>
      </c>
      <c r="R61" s="17">
        <f t="shared" ref="R61" si="1032">AVERAGE(O50:O61)</f>
        <v>3.8541927871032645E-2</v>
      </c>
      <c r="S61" s="26">
        <v>24950397</v>
      </c>
      <c r="T61" s="26">
        <v>225534.93</v>
      </c>
      <c r="U61" s="26">
        <v>114351</v>
      </c>
      <c r="V61" s="26">
        <v>174351</v>
      </c>
      <c r="W61" s="26">
        <v>0</v>
      </c>
      <c r="X61" s="26">
        <v>0</v>
      </c>
      <c r="Y61" s="26">
        <v>0</v>
      </c>
      <c r="Z61" s="26">
        <f t="shared" si="992"/>
        <v>379471.82</v>
      </c>
      <c r="AA61" s="4">
        <f t="shared" ref="AA61" si="1033">Z61/$D$4</f>
        <v>9.4867942097959877E-3</v>
      </c>
      <c r="AB61" s="2">
        <v>20621622.620000001</v>
      </c>
      <c r="AC61" s="8">
        <f t="shared" ref="AC61" si="1034">+AB61/$AB$4</f>
        <v>0.58584155170454544</v>
      </c>
      <c r="AD61" s="2">
        <f t="shared" ref="AD61" si="1035">AB61*$AD$2</f>
        <v>17575246.551136363</v>
      </c>
      <c r="AE61" s="2">
        <v>2818130.93</v>
      </c>
      <c r="AF61" s="8">
        <f t="shared" ref="AF61" si="1036">+AE61/$AE$4</f>
        <v>0.70453273250000004</v>
      </c>
      <c r="AG61" s="2">
        <v>800000</v>
      </c>
      <c r="AH61" s="8">
        <f t="shared" ref="AH61" si="1037">+AG61/$AG$4</f>
        <v>1</v>
      </c>
      <c r="AI61" s="8">
        <f t="shared" ref="AI61" si="1038">+AB61/D61</f>
        <v>0.804168373349188</v>
      </c>
      <c r="AJ61" s="2">
        <v>275516.46000000002</v>
      </c>
      <c r="AK61" s="4">
        <f t="shared" ref="AK61" si="1039">((+D61+AJ61)-AB61)/D61</f>
        <v>0.20657576776676104</v>
      </c>
      <c r="AL61" s="4">
        <f t="shared" ref="AL61" si="1040">+S61/$D61</f>
        <v>0.97297484973112458</v>
      </c>
      <c r="AM61" s="4">
        <f t="shared" ref="AM61" si="1041">+T61/$D61</f>
        <v>8.7950430057633835E-3</v>
      </c>
      <c r="AN61" s="4">
        <f t="shared" ref="AN61" si="1042">+U61/$D61</f>
        <v>4.4592736156303979E-3</v>
      </c>
      <c r="AO61" s="4">
        <f t="shared" ref="AO61" si="1043">+V61/$D61</f>
        <v>6.7990556633416013E-3</v>
      </c>
      <c r="AP61" s="4">
        <f t="shared" ref="AP61" si="1044">+W61/$D61</f>
        <v>0</v>
      </c>
      <c r="AQ61" s="4">
        <f t="shared" ref="AQ61" si="1045">+X61/$D61</f>
        <v>0</v>
      </c>
      <c r="AR61" s="4">
        <f t="shared" ref="AR61" si="1046">+Y61/$D61</f>
        <v>0</v>
      </c>
    </row>
    <row r="62" spans="1:44" x14ac:dyDescent="0.25">
      <c r="A62">
        <f t="shared" si="108"/>
        <v>58</v>
      </c>
      <c r="B62" s="3">
        <f t="shared" si="964"/>
        <v>45263</v>
      </c>
      <c r="C62" s="41">
        <v>609</v>
      </c>
      <c r="D62" s="2">
        <v>25401233.399999999</v>
      </c>
      <c r="E62" s="32">
        <v>7.5300000000000006E-2</v>
      </c>
      <c r="F62" s="8">
        <f t="shared" ref="F62" si="1047">+D62/D$4</f>
        <v>0.63503074863581821</v>
      </c>
      <c r="G62" s="2">
        <v>124012.44</v>
      </c>
      <c r="H62" s="8"/>
      <c r="I62" s="8"/>
      <c r="J62" s="8"/>
      <c r="K62" s="8"/>
      <c r="L62" s="8"/>
      <c r="M62" s="8"/>
      <c r="N62" s="6">
        <f t="shared" ref="N62" si="1048">G62/D61</f>
        <v>4.8360346800810465E-3</v>
      </c>
      <c r="O62" s="6">
        <f t="shared" ref="O62" si="1049">1-(+N62-1)^12</f>
        <v>5.6513472545178356E-2</v>
      </c>
      <c r="P62" s="20">
        <f t="shared" ref="P62" si="1050">AVERAGE(O60:O62)</f>
        <v>4.7261701338723504E-2</v>
      </c>
      <c r="Q62" s="20">
        <f t="shared" ref="Q62" si="1051">AVERAGE(O57:O62)</f>
        <v>3.3713452330982753E-2</v>
      </c>
      <c r="R62" s="17">
        <f t="shared" ref="R62" si="1052">AVERAGE(O51:O62)</f>
        <v>3.8245971203549091E-2</v>
      </c>
      <c r="S62" s="26">
        <v>24529289.670000002</v>
      </c>
      <c r="T62" s="26">
        <v>373291.82</v>
      </c>
      <c r="U62" s="26">
        <v>158079.9</v>
      </c>
      <c r="V62" s="26">
        <v>29367.040000000001</v>
      </c>
      <c r="W62" s="26">
        <v>132609.54999999999</v>
      </c>
      <c r="X62" s="26">
        <v>0</v>
      </c>
      <c r="Y62" s="26">
        <v>0</v>
      </c>
      <c r="Z62" s="26">
        <f t="shared" ref="Z62" si="1053">Z61+Y62</f>
        <v>379471.82</v>
      </c>
      <c r="AA62" s="4">
        <f t="shared" ref="AA62" si="1054">Z62/$D$4</f>
        <v>9.4867942097959877E-3</v>
      </c>
      <c r="AB62" s="2">
        <v>20379441.960000001</v>
      </c>
      <c r="AC62" s="8">
        <f t="shared" ref="AC62" si="1055">+AB62/$AB$4</f>
        <v>0.57896141931818179</v>
      </c>
      <c r="AD62" s="2">
        <f t="shared" ref="AD62" si="1056">AB62*$AD$2</f>
        <v>17368842.579545453</v>
      </c>
      <c r="AE62" s="2">
        <v>2801795.93</v>
      </c>
      <c r="AF62" s="8">
        <f t="shared" ref="AF62" si="1057">+AE62/$AE$4</f>
        <v>0.70044898250000009</v>
      </c>
      <c r="AG62" s="2">
        <v>800000</v>
      </c>
      <c r="AH62" s="8">
        <f t="shared" ref="AH62" si="1058">+AG62/$AG$4</f>
        <v>1</v>
      </c>
      <c r="AI62" s="8">
        <f t="shared" ref="AI62" si="1059">+AB62/D62</f>
        <v>0.8023012756538036</v>
      </c>
      <c r="AJ62" s="2">
        <v>273623.15999999997</v>
      </c>
      <c r="AK62" s="4">
        <f t="shared" ref="AK62" si="1060">((+D62+AJ62)-AB62)/D62</f>
        <v>0.20847076662033262</v>
      </c>
      <c r="AL62" s="4">
        <f t="shared" ref="AL62" si="1061">+S62/$D62</f>
        <v>0.96567317357117011</v>
      </c>
      <c r="AM62" s="4">
        <f t="shared" ref="AM62" si="1062">+T62/$D62</f>
        <v>1.4695814731579137E-2</v>
      </c>
      <c r="AN62" s="4">
        <f t="shared" ref="AN62" si="1063">+U62/$D62</f>
        <v>6.2233159118958376E-3</v>
      </c>
      <c r="AO62" s="4">
        <f t="shared" ref="AO62" si="1064">+V62/$D62</f>
        <v>1.1561265367531328E-3</v>
      </c>
      <c r="AP62" s="4">
        <f t="shared" ref="AP62" si="1065">+W62/$D62</f>
        <v>5.2205949180404755E-3</v>
      </c>
      <c r="AQ62" s="4">
        <f t="shared" ref="AQ62" si="1066">+X62/$D62</f>
        <v>0</v>
      </c>
      <c r="AR62" s="4">
        <f t="shared" ref="AR62" si="1067">+Y62/$D62</f>
        <v>0</v>
      </c>
    </row>
    <row r="63" spans="1:44" x14ac:dyDescent="0.25">
      <c r="A63">
        <f t="shared" si="108"/>
        <v>59</v>
      </c>
      <c r="B63" s="3">
        <f t="shared" si="964"/>
        <v>45294</v>
      </c>
      <c r="C63" s="41">
        <v>603</v>
      </c>
      <c r="D63" s="2">
        <v>25057869.170000002</v>
      </c>
      <c r="E63" s="32">
        <v>7.5300000000000006E-2</v>
      </c>
      <c r="F63" s="8">
        <f t="shared" ref="F63" si="1068">+D63/D$4</f>
        <v>0.62644664405325645</v>
      </c>
      <c r="G63" s="2">
        <v>253712.93</v>
      </c>
      <c r="H63" s="8"/>
      <c r="I63" s="8"/>
      <c r="J63" s="8"/>
      <c r="K63" s="8"/>
      <c r="L63" s="8"/>
      <c r="M63" s="8"/>
      <c r="N63" s="6">
        <f t="shared" ref="N63" si="1069">G63/D62</f>
        <v>9.9882130133098178E-3</v>
      </c>
      <c r="O63" s="6">
        <f t="shared" ref="O63" si="1070">1-(+N63-1)^12</f>
        <v>0.11348847990970201</v>
      </c>
      <c r="P63" s="20">
        <f t="shared" ref="P63" si="1071">AVERAGE(O61:O63)</f>
        <v>6.4626226360424435E-2</v>
      </c>
      <c r="Q63" s="20">
        <f t="shared" ref="Q63" si="1072">AVERAGE(O58:O63)</f>
        <v>5.262819898259976E-2</v>
      </c>
      <c r="R63" s="17">
        <f t="shared" ref="R63" si="1073">AVERAGE(O52:O63)</f>
        <v>4.6368113938075134E-2</v>
      </c>
      <c r="S63" s="26">
        <v>24262707.34</v>
      </c>
      <c r="T63" s="26">
        <v>423225.45</v>
      </c>
      <c r="U63" s="26">
        <v>119688.19</v>
      </c>
      <c r="V63" s="26">
        <v>87626.8</v>
      </c>
      <c r="W63" s="26">
        <v>0</v>
      </c>
      <c r="X63" s="26">
        <v>5996.12</v>
      </c>
      <c r="Y63" s="26">
        <v>0</v>
      </c>
      <c r="Z63" s="26">
        <f t="shared" ref="Z63" si="1074">Z62+Y63</f>
        <v>379471.82</v>
      </c>
      <c r="AA63" s="4">
        <f t="shared" ref="AA63" si="1075">Z63/$D$4</f>
        <v>9.4867942097959877E-3</v>
      </c>
      <c r="AB63" s="2">
        <v>20056047.82</v>
      </c>
      <c r="AC63" s="8">
        <f t="shared" ref="AC63" si="1076">+AB63/$AB$4</f>
        <v>0.56977408579545452</v>
      </c>
      <c r="AD63" s="2">
        <f t="shared" ref="AD63" si="1077">AB63*$AD$2</f>
        <v>17093222.573863633</v>
      </c>
      <c r="AE63" s="2">
        <v>2761792.07</v>
      </c>
      <c r="AF63" s="8">
        <f t="shared" ref="AF63" si="1078">+AE63/$AE$4</f>
        <v>0.69044801749999996</v>
      </c>
      <c r="AG63" s="2">
        <v>800000</v>
      </c>
      <c r="AH63" s="8">
        <f t="shared" ref="AH63" si="1079">+AG63/$AG$4</f>
        <v>1</v>
      </c>
      <c r="AI63" s="8">
        <f t="shared" ref="AI63" si="1080">+AB63/D63</f>
        <v>0.80038919845633461</v>
      </c>
      <c r="AJ63" s="2">
        <v>270409.71000000002</v>
      </c>
      <c r="AK63" s="4">
        <f t="shared" ref="AK63" si="1081">((+D63+AJ63)-AB63)/D63</f>
        <v>0.21040221034883796</v>
      </c>
      <c r="AL63" s="4">
        <f t="shared" ref="AL63" si="1082">+S63/$D63</f>
        <v>0.96826698133806233</v>
      </c>
      <c r="AM63" s="4">
        <f t="shared" ref="AM63" si="1083">+T63/$D63</f>
        <v>1.6889921769832592E-2</v>
      </c>
      <c r="AN63" s="4">
        <f t="shared" ref="AN63" si="1084">+U63/$D63</f>
        <v>4.7764711830842396E-3</v>
      </c>
      <c r="AO63" s="4">
        <f t="shared" ref="AO63" si="1085">+V63/$D63</f>
        <v>3.4969773130154786E-3</v>
      </c>
      <c r="AP63" s="4">
        <f t="shared" ref="AP63" si="1086">+W63/$D63</f>
        <v>0</v>
      </c>
      <c r="AQ63" s="4">
        <f t="shared" ref="AQ63" si="1087">+X63/$D63</f>
        <v>2.3929089737521363E-4</v>
      </c>
      <c r="AR63" s="4">
        <f t="shared" ref="AR63" si="1088">+Y63/$D63</f>
        <v>0</v>
      </c>
    </row>
    <row r="64" spans="1:44" x14ac:dyDescent="0.25">
      <c r="A64">
        <f t="shared" si="108"/>
        <v>60</v>
      </c>
      <c r="B64" s="3">
        <f t="shared" ref="B64:B91" si="1089">+B63+31</f>
        <v>45325</v>
      </c>
      <c r="C64" s="41">
        <v>602</v>
      </c>
      <c r="D64" s="2">
        <v>24952194.18</v>
      </c>
      <c r="E64" s="32">
        <v>7.5300000000000006E-2</v>
      </c>
      <c r="F64" s="8">
        <f t="shared" ref="F64" si="1090">+D64/D$4</f>
        <v>0.62380476966255138</v>
      </c>
      <c r="G64" s="2">
        <v>22298.75</v>
      </c>
      <c r="H64" s="8"/>
      <c r="I64" s="8"/>
      <c r="J64" s="8"/>
      <c r="K64" s="8"/>
      <c r="L64" s="8"/>
      <c r="M64" s="8"/>
      <c r="N64" s="6">
        <f t="shared" ref="N64" si="1091">G64/D63</f>
        <v>8.8989011191329477E-4</v>
      </c>
      <c r="O64" s="6">
        <f t="shared" ref="O64" si="1092">1-(+N64-1)^12</f>
        <v>1.0626570377575195E-2</v>
      </c>
      <c r="P64" s="20">
        <f t="shared" ref="P64" si="1093">AVERAGE(O62:O64)</f>
        <v>6.0209507610818523E-2</v>
      </c>
      <c r="Q64" s="20">
        <f t="shared" ref="Q64" si="1094">AVERAGE(O59:O64)</f>
        <v>5.3029157037241113E-2</v>
      </c>
      <c r="R64" s="17">
        <f t="shared" ref="R64" si="1095">AVERAGE(O53:O64)</f>
        <v>4.1738345850100611E-2</v>
      </c>
      <c r="S64" s="26">
        <v>24022025.98</v>
      </c>
      <c r="T64" s="26">
        <v>415724.9</v>
      </c>
      <c r="U64" s="26">
        <v>300986.76</v>
      </c>
      <c r="V64" s="26">
        <v>54831.27</v>
      </c>
      <c r="W64" s="26">
        <v>0</v>
      </c>
      <c r="X64" s="26">
        <v>0</v>
      </c>
      <c r="Y64" s="26">
        <v>0</v>
      </c>
      <c r="Z64" s="26">
        <f t="shared" ref="Z64" si="1096">Z63+Y64</f>
        <v>379471.82</v>
      </c>
      <c r="AA64" s="4">
        <f t="shared" ref="AA64" si="1097">Z64/$D$4</f>
        <v>9.4867942097959877E-3</v>
      </c>
      <c r="AB64" s="2">
        <v>19950372.829999998</v>
      </c>
      <c r="AC64" s="8">
        <f t="shared" ref="AC64" si="1098">+AB64/$AB$4</f>
        <v>0.56677195539772718</v>
      </c>
      <c r="AD64" s="2">
        <f t="shared" ref="AD64" si="1099">AB64*$AD$2</f>
        <v>17003158.661931816</v>
      </c>
      <c r="AE64" s="2">
        <v>2732520.72</v>
      </c>
      <c r="AF64" s="8">
        <f t="shared" ref="AF64" si="1100">+AE64/$AE$4</f>
        <v>0.68313018000000003</v>
      </c>
      <c r="AG64" s="2">
        <v>800000</v>
      </c>
      <c r="AH64" s="8">
        <f t="shared" ref="AH64" si="1101">+AG64/$AG$4</f>
        <v>1</v>
      </c>
      <c r="AI64" s="8">
        <f t="shared" ref="AI64" si="1102">+AB64/D64</f>
        <v>0.79954382713127792</v>
      </c>
      <c r="AJ64" s="2">
        <v>266118.69</v>
      </c>
      <c r="AK64" s="4">
        <f t="shared" ref="AK64" si="1103">((+D64+AJ64)-AB64)/D64</f>
        <v>0.21112131470275383</v>
      </c>
      <c r="AL64" s="4">
        <f t="shared" ref="AL64" si="1104">+S64/$D64</f>
        <v>0.96272198776228024</v>
      </c>
      <c r="AM64" s="4">
        <f t="shared" ref="AM64" si="1105">+T64/$D64</f>
        <v>1.6660855434237409E-2</v>
      </c>
      <c r="AN64" s="4">
        <f t="shared" ref="AN64" si="1106">+U64/$D64</f>
        <v>1.2062536778479014E-2</v>
      </c>
      <c r="AO64" s="4">
        <f t="shared" ref="AO64" si="1107">+V64/$D64</f>
        <v>2.1974528413997779E-3</v>
      </c>
      <c r="AP64" s="4">
        <f t="shared" ref="AP64" si="1108">+W64/$D64</f>
        <v>0</v>
      </c>
      <c r="AQ64" s="4">
        <f t="shared" ref="AQ64" si="1109">+X64/$D64</f>
        <v>0</v>
      </c>
      <c r="AR64" s="4">
        <f t="shared" ref="AR64" si="1110">+Y64/$D64</f>
        <v>0</v>
      </c>
    </row>
    <row r="65" spans="1:44" x14ac:dyDescent="0.25">
      <c r="A65">
        <f t="shared" si="108"/>
        <v>61</v>
      </c>
      <c r="B65" s="3">
        <f t="shared" si="1089"/>
        <v>45356</v>
      </c>
      <c r="C65" s="41">
        <v>601</v>
      </c>
      <c r="D65" s="2">
        <v>24857094.719999999</v>
      </c>
      <c r="E65" s="32">
        <v>7.5300000000000006E-2</v>
      </c>
      <c r="F65" s="8">
        <f t="shared" ref="F65" si="1111">+D65/D$4</f>
        <v>0.62142728348588949</v>
      </c>
      <c r="G65" s="2">
        <v>0.04</v>
      </c>
      <c r="H65" s="8"/>
      <c r="I65" s="8"/>
      <c r="J65" s="8"/>
      <c r="K65" s="8"/>
      <c r="L65" s="8"/>
      <c r="M65" s="8"/>
      <c r="N65" s="6">
        <f t="shared" ref="N65" si="1112">G65/D64</f>
        <v>1.6030654343040224E-9</v>
      </c>
      <c r="O65" s="6">
        <f t="shared" ref="O65" si="1113">1-(+N65-1)^12</f>
        <v>1.9236785386844701E-8</v>
      </c>
      <c r="P65" s="20">
        <f t="shared" ref="P65" si="1114">AVERAGE(O63:O65)</f>
        <v>4.1371689841354198E-2</v>
      </c>
      <c r="Q65" s="20">
        <f t="shared" ref="Q65" si="1115">AVERAGE(O60:O65)</f>
        <v>4.4316695590038847E-2</v>
      </c>
      <c r="R65" s="17">
        <f t="shared" ref="R65" si="1116">AVERAGE(O54:O65)</f>
        <v>3.8018067601273124E-2</v>
      </c>
      <c r="S65" s="26">
        <v>23952877.949999999</v>
      </c>
      <c r="T65" s="26">
        <v>524738.48</v>
      </c>
      <c r="U65" s="26">
        <v>166021.75</v>
      </c>
      <c r="V65" s="26">
        <v>49054.29</v>
      </c>
      <c r="W65" s="26">
        <v>5776.98</v>
      </c>
      <c r="X65" s="26">
        <v>0</v>
      </c>
      <c r="Y65" s="26">
        <v>0</v>
      </c>
      <c r="Z65" s="26">
        <f t="shared" ref="Z65" si="1117">Z64+Y65</f>
        <v>379471.82</v>
      </c>
      <c r="AA65" s="4">
        <f t="shared" ref="AA65" si="1118">Z65/$D$4</f>
        <v>9.4867942097959877E-3</v>
      </c>
      <c r="AB65" s="2">
        <v>19855273.370000001</v>
      </c>
      <c r="AC65" s="8">
        <f t="shared" ref="AC65" si="1119">+AB65/$AB$4</f>
        <v>0.5640702661931819</v>
      </c>
      <c r="AD65" s="2">
        <f t="shared" ref="AD65" si="1120">AB65*$AD$2</f>
        <v>16922107.985795453</v>
      </c>
      <c r="AE65" s="2">
        <v>2712872.37</v>
      </c>
      <c r="AF65" s="8">
        <f t="shared" ref="AF65" si="1121">+AE65/$AE$4</f>
        <v>0.67821809249999998</v>
      </c>
      <c r="AG65" s="2">
        <v>800000</v>
      </c>
      <c r="AH65" s="8">
        <f t="shared" ref="AH65" si="1122">+AG65/$AG$4</f>
        <v>1</v>
      </c>
      <c r="AI65" s="8">
        <f t="shared" ref="AI65" si="1123">+AB65/D65</f>
        <v>0.79877691233257697</v>
      </c>
      <c r="AJ65" s="2">
        <v>264716.52</v>
      </c>
      <c r="AK65" s="4">
        <f t="shared" ref="AK65" si="1124">((+D65+AJ65)-AB65)/D65</f>
        <v>0.2118726234632137</v>
      </c>
      <c r="AL65" s="4">
        <f t="shared" ref="AL65" si="1125">+S65/$D65</f>
        <v>0.96362339283068077</v>
      </c>
      <c r="AM65" s="4">
        <f t="shared" ref="AM65" si="1126">+T65/$D65</f>
        <v>2.1110209616645014E-2</v>
      </c>
      <c r="AN65" s="4">
        <f t="shared" ref="AN65" si="1127">+U65/$D65</f>
        <v>6.6790488538638034E-3</v>
      </c>
      <c r="AO65" s="4">
        <f t="shared" ref="AO65" si="1128">+V65/$D65</f>
        <v>1.9734522699682579E-3</v>
      </c>
      <c r="AP65" s="4">
        <f t="shared" ref="AP65" si="1129">+W65/$D65</f>
        <v>2.3240769144882592E-4</v>
      </c>
      <c r="AQ65" s="4">
        <f t="shared" ref="AQ65" si="1130">+X65/$D65</f>
        <v>0</v>
      </c>
      <c r="AR65" s="4">
        <f t="shared" ref="AR65" si="1131">+Y65/$D65</f>
        <v>0</v>
      </c>
    </row>
    <row r="66" spans="1:44" x14ac:dyDescent="0.25">
      <c r="A66">
        <f t="shared" si="108"/>
        <v>62</v>
      </c>
      <c r="B66" s="3">
        <f t="shared" si="1089"/>
        <v>45387</v>
      </c>
      <c r="C66" s="41">
        <v>601</v>
      </c>
      <c r="D66" s="2">
        <v>24755238.309999999</v>
      </c>
      <c r="E66" s="32">
        <v>7.5300000000000006E-2</v>
      </c>
      <c r="F66" s="8">
        <f t="shared" ref="F66" si="1132">+D66/D$4</f>
        <v>0.61888087358220123</v>
      </c>
      <c r="G66" s="2">
        <v>0</v>
      </c>
      <c r="H66" s="8"/>
      <c r="I66" s="8"/>
      <c r="J66" s="8"/>
      <c r="K66" s="8"/>
      <c r="L66" s="8"/>
      <c r="M66" s="8"/>
      <c r="N66" s="6">
        <f t="shared" ref="N66" si="1133">G66/D65</f>
        <v>0</v>
      </c>
      <c r="O66" s="6">
        <f t="shared" ref="O66" si="1134">1-(+N66-1)^12</f>
        <v>0</v>
      </c>
      <c r="P66" s="20">
        <f t="shared" ref="P66" si="1135">AVERAGE(O64:O66)</f>
        <v>3.5421965381201939E-3</v>
      </c>
      <c r="Q66" s="20">
        <f t="shared" ref="Q66" si="1136">AVERAGE(O61:O66)</f>
        <v>3.4084211449272317E-2</v>
      </c>
      <c r="R66" s="17">
        <f t="shared" ref="R66" si="1137">AVERAGE(O55:O66)</f>
        <v>3.5202440115368668E-2</v>
      </c>
      <c r="S66" s="26">
        <v>23849458.379999999</v>
      </c>
      <c r="T66" s="26">
        <v>427985.84</v>
      </c>
      <c r="U66" s="26">
        <v>96585.13</v>
      </c>
      <c r="V66" s="26">
        <v>122583.69</v>
      </c>
      <c r="W66" s="26">
        <v>0</v>
      </c>
      <c r="X66" s="26">
        <v>0</v>
      </c>
      <c r="Y66" s="26">
        <v>0</v>
      </c>
      <c r="Z66" s="26">
        <f t="shared" ref="Z66" si="1138">Z65+Y66</f>
        <v>379471.82</v>
      </c>
      <c r="AA66" s="4">
        <f t="shared" ref="AA66" si="1139">Z66/$D$4</f>
        <v>9.4867942097959877E-3</v>
      </c>
      <c r="AB66" s="2">
        <v>19753416.960000001</v>
      </c>
      <c r="AC66" s="8">
        <f t="shared" ref="AC66" si="1140">+AB66/$AB$4</f>
        <v>0.56117661818181819</v>
      </c>
      <c r="AD66" s="2">
        <f t="shared" ref="AD66" si="1141">AB66*$AD$2</f>
        <v>16835298.545454543</v>
      </c>
      <c r="AE66" s="2">
        <v>2712872.37</v>
      </c>
      <c r="AF66" s="8">
        <f t="shared" ref="AF66" si="1142">+AE66/$AE$4</f>
        <v>0.67821809249999998</v>
      </c>
      <c r="AG66" s="2">
        <v>800000</v>
      </c>
      <c r="AH66" s="8">
        <f t="shared" ref="AH66" si="1143">+AG66/$AG$4</f>
        <v>1</v>
      </c>
      <c r="AI66" s="8">
        <f t="shared" ref="AI66" si="1144">+AB66/D66</f>
        <v>0.79794897195639247</v>
      </c>
      <c r="AJ66" s="2">
        <v>263454.65999999997</v>
      </c>
      <c r="AK66" s="4">
        <f t="shared" ref="AK66" si="1145">((+D66+AJ66)-AB66)/D66</f>
        <v>0.21269340832291903</v>
      </c>
      <c r="AL66" s="4">
        <f t="shared" ref="AL66" si="1146">+S66/$D66</f>
        <v>0.96341057522221041</v>
      </c>
      <c r="AM66" s="4">
        <f t="shared" ref="AM66" si="1147">+T66/$D66</f>
        <v>1.7288698037987098E-2</v>
      </c>
      <c r="AN66" s="4">
        <f t="shared" ref="AN66" si="1148">+U66/$D66</f>
        <v>3.9016037248562449E-3</v>
      </c>
      <c r="AO66" s="4">
        <f t="shared" ref="AO66" si="1149">+V66/$D66</f>
        <v>4.9518283146755947E-3</v>
      </c>
      <c r="AP66" s="4">
        <f t="shared" ref="AP66" si="1150">+W66/$D66</f>
        <v>0</v>
      </c>
      <c r="AQ66" s="4">
        <f t="shared" ref="AQ66" si="1151">+X66/$D66</f>
        <v>0</v>
      </c>
      <c r="AR66" s="4">
        <f t="shared" ref="AR66" si="1152">+Y66/$D66</f>
        <v>0</v>
      </c>
    </row>
    <row r="67" spans="1:44" x14ac:dyDescent="0.25">
      <c r="A67">
        <f t="shared" si="108"/>
        <v>63</v>
      </c>
      <c r="B67" s="3">
        <f t="shared" si="1089"/>
        <v>45418</v>
      </c>
      <c r="C67" s="41">
        <v>599</v>
      </c>
      <c r="D67" s="2">
        <v>24625767.390000001</v>
      </c>
      <c r="E67" s="32">
        <v>7.5300000000000006E-2</v>
      </c>
      <c r="F67" s="8">
        <f t="shared" ref="F67" si="1153">+D67/D$4</f>
        <v>0.6156441010224023</v>
      </c>
      <c r="G67" s="2">
        <v>20666.330000000002</v>
      </c>
      <c r="H67" s="8"/>
      <c r="I67" s="8"/>
      <c r="J67" s="8"/>
      <c r="K67" s="8"/>
      <c r="L67" s="8"/>
      <c r="M67" s="8"/>
      <c r="N67" s="6">
        <f t="shared" ref="N67" si="1154">G67/D66</f>
        <v>8.3482654221315805E-4</v>
      </c>
      <c r="O67" s="6">
        <f t="shared" ref="O67" si="1155">1-(+N67-1)^12</f>
        <v>9.9720485334084952E-3</v>
      </c>
      <c r="P67" s="20">
        <f t="shared" ref="P67" si="1156">AVERAGE(O65:O67)</f>
        <v>3.3240225900646272E-3</v>
      </c>
      <c r="Q67" s="20">
        <f t="shared" ref="Q67" si="1157">AVERAGE(O62:O67)</f>
        <v>3.1766765100441574E-2</v>
      </c>
      <c r="R67" s="17">
        <f t="shared" ref="R67" si="1158">AVERAGE(O56:O67)</f>
        <v>3.2255424693294399E-2</v>
      </c>
      <c r="S67" s="26">
        <v>23645869.91</v>
      </c>
      <c r="T67" s="26">
        <v>607685.4</v>
      </c>
      <c r="U67" s="26">
        <v>129587.53</v>
      </c>
      <c r="V67" s="26">
        <v>34944.89</v>
      </c>
      <c r="W67" s="26">
        <v>49054.29</v>
      </c>
      <c r="X67" s="26">
        <v>0</v>
      </c>
      <c r="Y67" s="26">
        <v>0</v>
      </c>
      <c r="Z67" s="26">
        <f t="shared" ref="Z67" si="1159">Z66+Y67</f>
        <v>379471.82</v>
      </c>
      <c r="AA67" s="4">
        <f t="shared" ref="AA67" si="1160">Z67/$D$4</f>
        <v>9.4867942097959877E-3</v>
      </c>
      <c r="AB67" s="2">
        <v>19623946.039999999</v>
      </c>
      <c r="AC67" s="8">
        <f t="shared" ref="AC67" si="1161">+AB67/$AB$4</f>
        <v>0.55749846704545447</v>
      </c>
      <c r="AD67" s="2">
        <f t="shared" ref="AD67" si="1162">AB67*$AD$2</f>
        <v>16724954.011363633</v>
      </c>
      <c r="AE67" s="2">
        <v>2664345.62</v>
      </c>
      <c r="AF67" s="8">
        <f t="shared" ref="AF67" si="1163">+AE67/$AE$4</f>
        <v>0.66608640500000005</v>
      </c>
      <c r="AG67" s="2">
        <v>800000</v>
      </c>
      <c r="AH67" s="8">
        <f t="shared" ref="AH67" si="1164">+AG67/$AG$4</f>
        <v>1</v>
      </c>
      <c r="AI67" s="8">
        <f t="shared" ref="AI67" si="1165">+AB67/D67</f>
        <v>0.79688668089867787</v>
      </c>
      <c r="AJ67" s="2">
        <v>262103.16</v>
      </c>
      <c r="AK67" s="4">
        <f t="shared" ref="AK67" si="1166">((+D67+AJ67)-AB67)/D67</f>
        <v>0.21375677056616596</v>
      </c>
      <c r="AL67" s="4">
        <f t="shared" ref="AL67" si="1167">+S67/$D67</f>
        <v>0.96020844895993307</v>
      </c>
      <c r="AM67" s="4">
        <f t="shared" ref="AM67" si="1168">+T67/$D67</f>
        <v>2.4676810690852546E-2</v>
      </c>
      <c r="AN67" s="4">
        <f t="shared" ref="AN67" si="1169">+U67/$D67</f>
        <v>5.2622737780193092E-3</v>
      </c>
      <c r="AO67" s="4">
        <f t="shared" ref="AO67" si="1170">+V67/$D67</f>
        <v>1.4190376058774263E-3</v>
      </c>
      <c r="AP67" s="4">
        <f t="shared" ref="AP67" si="1171">+W67/$D67</f>
        <v>1.9919903093017885E-3</v>
      </c>
      <c r="AQ67" s="4">
        <f t="shared" ref="AQ67" si="1172">+X67/$D67</f>
        <v>0</v>
      </c>
      <c r="AR67" s="4">
        <f t="shared" ref="AR67" si="1173">+Y67/$D67</f>
        <v>0</v>
      </c>
    </row>
    <row r="68" spans="1:44" x14ac:dyDescent="0.25">
      <c r="A68">
        <f t="shared" si="108"/>
        <v>64</v>
      </c>
      <c r="B68" s="3">
        <f t="shared" si="1089"/>
        <v>45449</v>
      </c>
      <c r="C68" s="41">
        <v>593</v>
      </c>
      <c r="D68" s="2">
        <v>24289348.329999998</v>
      </c>
      <c r="E68" s="32">
        <v>7.5300000000000006E-2</v>
      </c>
      <c r="F68" s="8">
        <f t="shared" ref="F68" si="1174">+D68/D$4</f>
        <v>0.60723362566622685</v>
      </c>
      <c r="G68" s="2">
        <v>246967.79</v>
      </c>
      <c r="H68" s="8"/>
      <c r="I68" s="8"/>
      <c r="J68" s="8"/>
      <c r="K68" s="8"/>
      <c r="L68" s="8"/>
      <c r="M68" s="8"/>
      <c r="N68" s="6">
        <f t="shared" ref="N68" si="1175">G68/D67</f>
        <v>1.0028836303403416E-2</v>
      </c>
      <c r="O68" s="6">
        <f t="shared" ref="O68" si="1176">1-(+N68-1)^12</f>
        <v>0.11392489760175384</v>
      </c>
      <c r="P68" s="20">
        <f t="shared" ref="P68" si="1177">AVERAGE(O66:O68)</f>
        <v>4.1298982045054111E-2</v>
      </c>
      <c r="Q68" s="20">
        <f t="shared" ref="Q68" si="1178">AVERAGE(O63:O68)</f>
        <v>4.1335335943204154E-2</v>
      </c>
      <c r="R68" s="17">
        <f t="shared" ref="R68" si="1179">AVERAGE(O57:O68)</f>
        <v>3.7524394137093457E-2</v>
      </c>
      <c r="S68" s="26">
        <v>23604017.739999998</v>
      </c>
      <c r="T68" s="26">
        <v>392091.69</v>
      </c>
      <c r="U68" s="26">
        <v>79943.67</v>
      </c>
      <c r="V68" s="26">
        <v>54669.96</v>
      </c>
      <c r="W68" s="26">
        <v>0</v>
      </c>
      <c r="X68" s="26">
        <v>0</v>
      </c>
      <c r="Y68" s="26">
        <v>0</v>
      </c>
      <c r="Z68" s="26">
        <f t="shared" ref="Z68" si="1180">Z67+Y68</f>
        <v>379471.82</v>
      </c>
      <c r="AA68" s="4">
        <f t="shared" ref="AA68" si="1181">Z68/$D$4</f>
        <v>9.4867942097959877E-3</v>
      </c>
      <c r="AB68" s="2">
        <v>19287526.98</v>
      </c>
      <c r="AC68" s="8">
        <f t="shared" ref="AC68" si="1182">+AB68/$AB$4</f>
        <v>0.5479411073863637</v>
      </c>
      <c r="AD68" s="2">
        <f t="shared" ref="AD68" si="1183">AB68*$AD$2</f>
        <v>16438233.221590908</v>
      </c>
      <c r="AE68" s="2">
        <v>2635805.25</v>
      </c>
      <c r="AF68" s="8">
        <f t="shared" ref="AF68" si="1184">+AE68/$AE$4</f>
        <v>0.65895131250000005</v>
      </c>
      <c r="AG68" s="2">
        <v>800000</v>
      </c>
      <c r="AH68" s="8">
        <f t="shared" ref="AH68" si="1185">+AG68/$AG$4</f>
        <v>1</v>
      </c>
      <c r="AI68" s="8">
        <f t="shared" ref="AI68" si="1186">+AB68/D68</f>
        <v>0.79407346454732985</v>
      </c>
      <c r="AJ68" s="2">
        <v>260385.24</v>
      </c>
      <c r="AK68" s="4">
        <f t="shared" ref="AK68" si="1187">((+D68+AJ68)-AB68)/D68</f>
        <v>0.21664667649813379</v>
      </c>
      <c r="AL68" s="4">
        <f t="shared" ref="AL68" si="1188">+S68/$D68</f>
        <v>0.97178472716974695</v>
      </c>
      <c r="AM68" s="4">
        <f t="shared" ref="AM68" si="1189">+T68/$D68</f>
        <v>1.6142536418555287E-2</v>
      </c>
      <c r="AN68" s="4">
        <f t="shared" ref="AN68" si="1190">+U68/$D68</f>
        <v>3.2913056749760898E-3</v>
      </c>
      <c r="AO68" s="4">
        <f t="shared" ref="AO68" si="1191">+V68/$D68</f>
        <v>2.2507791998880688E-3</v>
      </c>
      <c r="AP68" s="4">
        <f t="shared" ref="AP68" si="1192">+W68/$D68</f>
        <v>0</v>
      </c>
      <c r="AQ68" s="4">
        <f t="shared" ref="AQ68" si="1193">+X68/$D68</f>
        <v>0</v>
      </c>
      <c r="AR68" s="4">
        <f t="shared" ref="AR68" si="1194">+Y68/$D68</f>
        <v>0</v>
      </c>
    </row>
    <row r="69" spans="1:44" x14ac:dyDescent="0.25">
      <c r="A69">
        <f t="shared" si="108"/>
        <v>65</v>
      </c>
      <c r="B69" s="3">
        <f t="shared" si="1089"/>
        <v>45480</v>
      </c>
      <c r="C69" s="41">
        <v>592</v>
      </c>
      <c r="D69" s="2">
        <v>24166505.530000001</v>
      </c>
      <c r="E69" s="32">
        <v>7.5300000000000006E-2</v>
      </c>
      <c r="F69" s="8">
        <f t="shared" ref="F69" si="1195">+D69/D$4</f>
        <v>0.60416255608389247</v>
      </c>
      <c r="G69" s="2">
        <v>60515.06</v>
      </c>
      <c r="H69" s="8"/>
      <c r="I69" s="8"/>
      <c r="J69" s="8"/>
      <c r="K69" s="8"/>
      <c r="L69" s="8"/>
      <c r="M69" s="8"/>
      <c r="N69" s="6">
        <f t="shared" ref="N69" si="1196">G69/D68</f>
        <v>2.4914237787622027E-3</v>
      </c>
      <c r="O69" s="6">
        <f t="shared" ref="O69" si="1197">1-(+N69-1)^12</f>
        <v>2.949079389189313E-2</v>
      </c>
      <c r="P69" s="20">
        <f t="shared" ref="P69" si="1198">AVERAGE(O67:O69)</f>
        <v>5.1129246675685157E-2</v>
      </c>
      <c r="Q69" s="20">
        <f t="shared" ref="Q69" si="1199">AVERAGE(O64:O69)</f>
        <v>2.7335721606902674E-2</v>
      </c>
      <c r="R69" s="17">
        <f t="shared" ref="R69" si="1200">AVERAGE(O58:O69)</f>
        <v>3.9981960294751213E-2</v>
      </c>
      <c r="S69" s="26">
        <v>23506953.109999999</v>
      </c>
      <c r="T69" s="26">
        <v>341129.58</v>
      </c>
      <c r="U69" s="26">
        <v>130610.72</v>
      </c>
      <c r="V69" s="26">
        <v>29186.85</v>
      </c>
      <c r="W69" s="26">
        <v>0</v>
      </c>
      <c r="X69" s="26">
        <v>0</v>
      </c>
      <c r="Y69" s="26">
        <v>0</v>
      </c>
      <c r="Z69" s="26">
        <f t="shared" ref="Z69" si="1201">Z68+Y69</f>
        <v>379471.82</v>
      </c>
      <c r="AA69" s="4">
        <f t="shared" ref="AA69" si="1202">Z69/$D$4</f>
        <v>9.4867942097959877E-3</v>
      </c>
      <c r="AB69" s="2">
        <v>19164684.18</v>
      </c>
      <c r="AC69" s="8">
        <f t="shared" ref="AC69" si="1203">+AB69/$AB$4</f>
        <v>0.54445125511363635</v>
      </c>
      <c r="AD69" s="2">
        <f t="shared" ref="AD69" si="1204">AB69*$AD$2</f>
        <v>16333537.653409088</v>
      </c>
      <c r="AE69" s="2">
        <v>2635617.62</v>
      </c>
      <c r="AF69" s="8">
        <f t="shared" ref="AF69" si="1205">+AE69/$AE$4</f>
        <v>0.65890440500000003</v>
      </c>
      <c r="AG69" s="2">
        <v>800000</v>
      </c>
      <c r="AH69" s="8">
        <f t="shared" ref="AH69" si="1206">+AG69/$AG$4</f>
        <v>1</v>
      </c>
      <c r="AI69" s="8">
        <f t="shared" ref="AI69" si="1207">+AB69/D69</f>
        <v>0.79302670202811065</v>
      </c>
      <c r="AJ69" s="2">
        <v>255921.36</v>
      </c>
      <c r="AK69" s="4">
        <f t="shared" ref="AK69" si="1208">((+D69+AJ69)-AB69)/D69</f>
        <v>0.21756321796186479</v>
      </c>
      <c r="AL69" s="4">
        <f t="shared" ref="AL69" si="1209">+S69/$D69</f>
        <v>0.97270799374856898</v>
      </c>
      <c r="AM69" s="4">
        <f t="shared" ref="AM69" si="1210">+T69/$D69</f>
        <v>1.4115800878886937E-2</v>
      </c>
      <c r="AN69" s="4">
        <f t="shared" ref="AN69" si="1211">+U69/$D69</f>
        <v>5.4046175537402989E-3</v>
      </c>
      <c r="AO69" s="4">
        <f t="shared" ref="AO69" si="1212">+V69/$D69</f>
        <v>1.2077397770135945E-3</v>
      </c>
      <c r="AP69" s="4">
        <f t="shared" ref="AP69" si="1213">+W69/$D69</f>
        <v>0</v>
      </c>
      <c r="AQ69" s="4">
        <f t="shared" ref="AQ69" si="1214">+X69/$D69</f>
        <v>0</v>
      </c>
      <c r="AR69" s="4">
        <f t="shared" ref="AR69" si="1215">+Y69/$D69</f>
        <v>0</v>
      </c>
    </row>
    <row r="70" spans="1:44" x14ac:dyDescent="0.25">
      <c r="A70">
        <f t="shared" si="108"/>
        <v>66</v>
      </c>
      <c r="B70" s="3">
        <f t="shared" si="1089"/>
        <v>45511</v>
      </c>
      <c r="C70" s="41">
        <v>587</v>
      </c>
      <c r="D70" s="2">
        <v>23972409.649999999</v>
      </c>
      <c r="E70" s="32">
        <v>7.5300000000000006E-2</v>
      </c>
      <c r="F70" s="8">
        <f t="shared" ref="F70" si="1216">+D70/D$4</f>
        <v>0.59931015974381829</v>
      </c>
      <c r="G70" s="2">
        <v>86087.24</v>
      </c>
      <c r="H70" s="8"/>
      <c r="I70" s="8"/>
      <c r="J70" s="8"/>
      <c r="K70" s="8"/>
      <c r="L70" s="8"/>
      <c r="M70" s="8"/>
      <c r="N70" s="6">
        <f t="shared" ref="N70" si="1217">G70/D69</f>
        <v>3.5622543728191223E-3</v>
      </c>
      <c r="O70" s="6">
        <f t="shared" ref="O70" si="1218">1-(+N70-1)^12</f>
        <v>4.1919400739739654E-2</v>
      </c>
      <c r="P70" s="20">
        <f t="shared" ref="P70" si="1219">AVERAGE(O68:O70)</f>
        <v>6.1778364077795543E-2</v>
      </c>
      <c r="Q70" s="20">
        <f t="shared" ref="Q70" si="1220">AVERAGE(O65:O70)</f>
        <v>3.2551193333930084E-2</v>
      </c>
      <c r="R70" s="17">
        <f t="shared" ref="R70" si="1221">AVERAGE(O59:O70)</f>
        <v>4.2790175185585595E-2</v>
      </c>
      <c r="S70" s="26">
        <v>23413469.859999999</v>
      </c>
      <c r="T70" s="26">
        <v>292160.5</v>
      </c>
      <c r="U70" s="26">
        <v>165242.25</v>
      </c>
      <c r="V70" s="26">
        <v>0</v>
      </c>
      <c r="W70" s="26">
        <v>0</v>
      </c>
      <c r="X70" s="26">
        <v>0</v>
      </c>
      <c r="Y70" s="26">
        <v>0</v>
      </c>
      <c r="Z70" s="26">
        <f t="shared" ref="Z70" si="1222">Z69+Y70</f>
        <v>379471.82</v>
      </c>
      <c r="AA70" s="4">
        <f t="shared" ref="AA70" si="1223">Z70/$D$4</f>
        <v>9.4867942097959877E-3</v>
      </c>
      <c r="AB70" s="2">
        <v>19027676.530000001</v>
      </c>
      <c r="AC70" s="8">
        <f t="shared" ref="AC70" si="1224">+AB70/$AB$4</f>
        <v>0.54055899232954552</v>
      </c>
      <c r="AD70" s="2">
        <f t="shared" ref="AD70" si="1225">AB70*$AD$2</f>
        <v>16216769.769886363</v>
      </c>
      <c r="AE70" s="2">
        <v>2532281.5</v>
      </c>
      <c r="AF70" s="8">
        <f t="shared" ref="AF70" si="1226">+AE70/$AE$4</f>
        <v>0.63307037499999996</v>
      </c>
      <c r="AG70" s="2">
        <v>800000</v>
      </c>
      <c r="AH70" s="8">
        <f t="shared" ref="AH70" si="1227">+AG70/$AG$4</f>
        <v>1</v>
      </c>
      <c r="AI70" s="8">
        <f t="shared" ref="AI70" si="1228">+AB70/D70</f>
        <v>0.79373232844784136</v>
      </c>
      <c r="AJ70" s="2">
        <v>254291.4</v>
      </c>
      <c r="AK70" s="4">
        <f t="shared" ref="AK70" si="1229">((+D70+AJ70)-AB70)/D70</f>
        <v>0.21687534110697945</v>
      </c>
      <c r="AL70" s="4">
        <f t="shared" ref="AL70" si="1230">+S70/$D70</f>
        <v>0.97668403810211046</v>
      </c>
      <c r="AM70" s="4">
        <f t="shared" ref="AM70" si="1231">+T70/$D70</f>
        <v>1.2187364735776572E-2</v>
      </c>
      <c r="AN70" s="4">
        <f t="shared" ref="AN70" si="1232">+U70/$D70</f>
        <v>6.8930179490738017E-3</v>
      </c>
      <c r="AO70" s="4">
        <f t="shared" ref="AO70" si="1233">+V70/$D70</f>
        <v>0</v>
      </c>
      <c r="AP70" s="4">
        <f t="shared" ref="AP70" si="1234">+W70/$D70</f>
        <v>0</v>
      </c>
      <c r="AQ70" s="4">
        <f t="shared" ref="AQ70" si="1235">+X70/$D70</f>
        <v>0</v>
      </c>
      <c r="AR70" s="4">
        <f t="shared" ref="AR70" si="1236">+Y70/$D70</f>
        <v>0</v>
      </c>
    </row>
    <row r="71" spans="1:44" x14ac:dyDescent="0.25">
      <c r="A71">
        <f t="shared" si="108"/>
        <v>67</v>
      </c>
      <c r="B71" s="3">
        <f t="shared" si="1089"/>
        <v>45542</v>
      </c>
      <c r="C71" s="41">
        <v>585</v>
      </c>
      <c r="D71" s="2">
        <v>23863307.850000001</v>
      </c>
      <c r="E71" s="32">
        <v>7.5300000000000006E-2</v>
      </c>
      <c r="F71" s="8">
        <f t="shared" ref="F71" si="1237">+D71/D$4</f>
        <v>0.5965826151147644</v>
      </c>
      <c r="G71" s="2">
        <v>29657.82</v>
      </c>
      <c r="H71" s="8"/>
      <c r="I71" s="8"/>
      <c r="J71" s="8"/>
      <c r="K71" s="8"/>
      <c r="L71" s="8"/>
      <c r="M71" s="8"/>
      <c r="N71" s="6">
        <f t="shared" ref="N71" si="1238">G71/D70</f>
        <v>1.2371647420099882E-3</v>
      </c>
      <c r="O71" s="6">
        <f t="shared" ref="O71" si="1239">1-(+N71-1)^12</f>
        <v>1.4745374277855383E-2</v>
      </c>
      <c r="P71" s="20">
        <f t="shared" ref="P71" si="1240">AVERAGE(O69:O71)</f>
        <v>2.871852296982939E-2</v>
      </c>
      <c r="Q71" s="20">
        <f t="shared" ref="Q71" si="1241">AVERAGE(O66:O71)</f>
        <v>3.5008752507441752E-2</v>
      </c>
      <c r="R71" s="17">
        <f t="shared" ref="R71" si="1242">AVERAGE(O60:O71)</f>
        <v>3.96627240487403E-2</v>
      </c>
      <c r="S71" s="26">
        <v>23284016.289999999</v>
      </c>
      <c r="T71" s="26">
        <v>289325.69</v>
      </c>
      <c r="U71" s="26">
        <v>145233.95000000001</v>
      </c>
      <c r="V71" s="26">
        <v>43194.879999999997</v>
      </c>
      <c r="W71" s="26">
        <v>0</v>
      </c>
      <c r="X71" s="26">
        <v>0</v>
      </c>
      <c r="Y71" s="26">
        <v>0</v>
      </c>
      <c r="Z71" s="26">
        <f t="shared" ref="Z71" si="1243">Z70+Y71</f>
        <v>379471.82</v>
      </c>
      <c r="AA71" s="4">
        <f t="shared" ref="AA71" si="1244">Z71/$D$4</f>
        <v>9.4867942097959877E-3</v>
      </c>
      <c r="AB71" s="2">
        <v>18918574.73</v>
      </c>
      <c r="AC71" s="8">
        <f t="shared" ref="AC71" si="1245">+AB71/$AB$4</f>
        <v>0.53745950937499998</v>
      </c>
      <c r="AD71" s="2">
        <f t="shared" ref="AD71" si="1246">AB71*$AD$2</f>
        <v>16123785.281249998</v>
      </c>
      <c r="AE71" s="2">
        <v>2512637.9500000002</v>
      </c>
      <c r="AF71" s="8">
        <f t="shared" ref="AF71" si="1247">+AE71/$AE$4</f>
        <v>0.62815948750000006</v>
      </c>
      <c r="AG71" s="2">
        <v>800000</v>
      </c>
      <c r="AH71" s="8">
        <f t="shared" ref="AH71" si="1248">+AG71/$AG$4</f>
        <v>1</v>
      </c>
      <c r="AI71" s="8">
        <f t="shared" ref="AI71" si="1249">+AB71/D71</f>
        <v>0.79278928340188171</v>
      </c>
      <c r="AJ71" s="2">
        <v>252473.49</v>
      </c>
      <c r="AK71" s="4">
        <f t="shared" ref="AK71" si="1250">((+D71+AJ71)-AB71)/D71</f>
        <v>0.21779070373095821</v>
      </c>
      <c r="AL71" s="4">
        <f t="shared" ref="AL71" si="1251">+S71/$D71</f>
        <v>0.9757245909225446</v>
      </c>
      <c r="AM71" s="4">
        <f t="shared" ref="AM71" si="1252">+T71/$D71</f>
        <v>1.2124291058835751E-2</v>
      </c>
      <c r="AN71" s="4">
        <f t="shared" ref="AN71" si="1253">+U71/$D71</f>
        <v>6.0860778779250422E-3</v>
      </c>
      <c r="AO71" s="4">
        <f t="shared" ref="AO71" si="1254">+V71/$D71</f>
        <v>1.8100960802045721E-3</v>
      </c>
      <c r="AP71" s="4">
        <f t="shared" ref="AP71" si="1255">+W71/$D71</f>
        <v>0</v>
      </c>
      <c r="AQ71" s="4">
        <f t="shared" ref="AQ71" si="1256">+X71/$D71</f>
        <v>0</v>
      </c>
      <c r="AR71" s="4">
        <f t="shared" ref="AR71" si="1257">+Y71/$D71</f>
        <v>0</v>
      </c>
    </row>
    <row r="72" spans="1:44" x14ac:dyDescent="0.25">
      <c r="A72">
        <f t="shared" si="108"/>
        <v>68</v>
      </c>
      <c r="B72" s="3">
        <f t="shared" si="1089"/>
        <v>45573</v>
      </c>
      <c r="C72" s="41">
        <v>580</v>
      </c>
      <c r="D72" s="2">
        <v>23666314.899999999</v>
      </c>
      <c r="E72" s="32">
        <v>7.5300000000000006E-2</v>
      </c>
      <c r="F72" s="8">
        <f t="shared" ref="F72" si="1258">+D72/D$4</f>
        <v>0.59165779203454028</v>
      </c>
      <c r="G72" s="2">
        <v>55174.71</v>
      </c>
      <c r="H72" s="8"/>
      <c r="I72" s="8"/>
      <c r="J72" s="8"/>
      <c r="K72" s="8"/>
      <c r="L72" s="8"/>
      <c r="M72" s="8"/>
      <c r="N72" s="6">
        <f t="shared" ref="N72" si="1259">G72/D71</f>
        <v>2.3121149149488091E-3</v>
      </c>
      <c r="O72" s="6">
        <f t="shared" ref="O72" si="1260">1-(+N72-1)^12</f>
        <v>2.7395256371405496E-2</v>
      </c>
      <c r="P72" s="20">
        <f t="shared" ref="P72" si="1261">AVERAGE(O70:O72)</f>
        <v>2.8020010463000178E-2</v>
      </c>
      <c r="Q72" s="20">
        <f t="shared" ref="Q72" si="1262">AVERAGE(O67:O72)</f>
        <v>3.9574628569342664E-2</v>
      </c>
      <c r="R72" s="17">
        <f t="shared" ref="R72" si="1263">AVERAGE(O61:O72)</f>
        <v>3.6829420009307494E-2</v>
      </c>
      <c r="S72" s="26">
        <v>23252029.039999999</v>
      </c>
      <c r="T72" s="26">
        <v>152338.93</v>
      </c>
      <c r="U72" s="26">
        <v>140226.06</v>
      </c>
      <c r="V72" s="26">
        <v>42803.66</v>
      </c>
      <c r="W72" s="26">
        <v>0</v>
      </c>
      <c r="X72" s="26">
        <v>0</v>
      </c>
      <c r="Y72" s="26">
        <v>0</v>
      </c>
      <c r="Z72" s="26">
        <f t="shared" ref="Z72" si="1264">Z71+Y72</f>
        <v>379471.82</v>
      </c>
      <c r="AA72" s="4">
        <f t="shared" ref="AA72" si="1265">Z72/$D$4</f>
        <v>9.4867942097959877E-3</v>
      </c>
      <c r="AB72" s="2">
        <v>18744201.609999999</v>
      </c>
      <c r="AC72" s="8">
        <f t="shared" ref="AC72" si="1266">+AB72/$AB$4</f>
        <v>0.53250572755681813</v>
      </c>
      <c r="AD72" s="2">
        <f t="shared" ref="AD72" si="1267">AB72*$AD$2</f>
        <v>15975171.826704543</v>
      </c>
      <c r="AE72" s="2">
        <v>2467631.34</v>
      </c>
      <c r="AF72" s="8">
        <f t="shared" ref="AF72" si="1268">+AE72/$AE$4</f>
        <v>0.61690783500000002</v>
      </c>
      <c r="AG72" s="2">
        <v>800000</v>
      </c>
      <c r="AH72" s="8">
        <f t="shared" ref="AH72" si="1269">+AG72/$AG$4</f>
        <v>1</v>
      </c>
      <c r="AI72" s="8">
        <f t="shared" ref="AI72" si="1270">+AB72/D72</f>
        <v>0.79202029083116787</v>
      </c>
      <c r="AJ72" s="2">
        <v>251025.84</v>
      </c>
      <c r="AK72" s="4">
        <f t="shared" ref="AK72" si="1271">((+D72+AJ72)-AB72)/D72</f>
        <v>0.21858659245677489</v>
      </c>
      <c r="AL72" s="4">
        <f t="shared" ref="AL72" si="1272">+S72/$D72</f>
        <v>0.98249470347409262</v>
      </c>
      <c r="AM72" s="4">
        <f t="shared" ref="AM72" si="1273">+T72/$D72</f>
        <v>6.4369518720466283E-3</v>
      </c>
      <c r="AN72" s="4">
        <f t="shared" ref="AN72" si="1274">+U72/$D72</f>
        <v>5.9251328562352568E-3</v>
      </c>
      <c r="AO72" s="4">
        <f t="shared" ref="AO72" si="1275">+V72/$D72</f>
        <v>1.8086322345013674E-3</v>
      </c>
      <c r="AP72" s="4">
        <f t="shared" ref="AP72" si="1276">+W72/$D72</f>
        <v>0</v>
      </c>
      <c r="AQ72" s="4">
        <f t="shared" ref="AQ72" si="1277">+X72/$D72</f>
        <v>0</v>
      </c>
      <c r="AR72" s="4">
        <f t="shared" ref="AR72" si="1278">+Y72/$D72</f>
        <v>0</v>
      </c>
    </row>
    <row r="73" spans="1:44" x14ac:dyDescent="0.25">
      <c r="A73">
        <f t="shared" si="108"/>
        <v>69</v>
      </c>
      <c r="B73" s="3">
        <f t="shared" si="1089"/>
        <v>45604</v>
      </c>
      <c r="C73" s="41">
        <v>575</v>
      </c>
      <c r="D73" s="2">
        <v>23471431.460000001</v>
      </c>
      <c r="E73" s="32">
        <v>7.5300000000000006E-2</v>
      </c>
      <c r="F73" s="8">
        <f t="shared" ref="F73" si="1279">+D73/D$4</f>
        <v>0.58678570669714392</v>
      </c>
      <c r="G73" s="2">
        <v>65700.539999999994</v>
      </c>
      <c r="H73" s="8"/>
      <c r="I73" s="8"/>
      <c r="J73" s="8"/>
      <c r="K73" s="8"/>
      <c r="L73" s="8"/>
      <c r="M73" s="8"/>
      <c r="N73" s="6">
        <f t="shared" ref="N73" si="1280">G73/D72</f>
        <v>2.7761204174630498E-3</v>
      </c>
      <c r="O73" s="6">
        <f t="shared" ref="O73" si="1281">1-(+N73-1)^12</f>
        <v>3.2809470925493245E-2</v>
      </c>
      <c r="P73" s="20">
        <f t="shared" ref="P73" si="1282">AVERAGE(O71:O73)</f>
        <v>2.4983367191584709E-2</v>
      </c>
      <c r="Q73" s="20">
        <f t="shared" ref="Q73" si="1283">AVERAGE(O68:O73)</f>
        <v>4.3380865634690124E-2</v>
      </c>
      <c r="R73" s="17">
        <f t="shared" ref="R73" si="1284">AVERAGE(O62:O73)</f>
        <v>3.7573815367565849E-2</v>
      </c>
      <c r="S73" s="26">
        <v>23065003.460000001</v>
      </c>
      <c r="T73" s="26">
        <v>114730.46</v>
      </c>
      <c r="U73" s="26">
        <v>223352.46</v>
      </c>
      <c r="V73" s="26">
        <v>18932.39</v>
      </c>
      <c r="W73" s="26">
        <v>23871.27</v>
      </c>
      <c r="X73" s="26">
        <v>0</v>
      </c>
      <c r="Y73" s="26">
        <v>0</v>
      </c>
      <c r="Z73" s="26">
        <f t="shared" ref="Z73" si="1285">Z72+Y73</f>
        <v>379471.82</v>
      </c>
      <c r="AA73" s="4">
        <f t="shared" ref="AA73" si="1286">Z73/$D$4</f>
        <v>9.4867942097959877E-3</v>
      </c>
      <c r="AB73" s="2">
        <v>18602693.960000001</v>
      </c>
      <c r="AC73" s="8">
        <f t="shared" ref="AC73" si="1287">+AB73/$AB$4</f>
        <v>0.5284856238636364</v>
      </c>
      <c r="AD73" s="2">
        <f t="shared" ref="AD73" si="1288">AB73*$AD$2</f>
        <v>15854568.71590909</v>
      </c>
      <c r="AE73" s="2">
        <v>2387063.19</v>
      </c>
      <c r="AF73" s="8">
        <f t="shared" ref="AF73" si="1289">+AE73/$AE$4</f>
        <v>0.59676579750000003</v>
      </c>
      <c r="AG73" s="2">
        <v>800000</v>
      </c>
      <c r="AH73" s="8">
        <f t="shared" ref="AH73" si="1290">+AG73/$AG$4</f>
        <v>1</v>
      </c>
      <c r="AI73" s="8">
        <f t="shared" ref="AI73" si="1291">+AB73/D73</f>
        <v>0.79256750879053539</v>
      </c>
      <c r="AJ73" s="2">
        <v>248712.12</v>
      </c>
      <c r="AK73" s="4">
        <f t="shared" ref="AK73" si="1292">((+D73+AJ73)-AB73)/D73</f>
        <v>0.2180288675073421</v>
      </c>
      <c r="AL73" s="4">
        <f t="shared" ref="AL73" si="1293">+S73/$D73</f>
        <v>0.9826841409015622</v>
      </c>
      <c r="AM73" s="4">
        <f t="shared" ref="AM73" si="1294">+T73/$D73</f>
        <v>4.8880895992868432E-3</v>
      </c>
      <c r="AN73" s="4">
        <f t="shared" ref="AN73" si="1295">+U73/$D73</f>
        <v>9.5159283480701681E-3</v>
      </c>
      <c r="AO73" s="4">
        <f t="shared" ref="AO73" si="1296">+V73/$D73</f>
        <v>8.0661420383603647E-4</v>
      </c>
      <c r="AP73" s="4">
        <f t="shared" ref="AP73" si="1297">+W73/$D73</f>
        <v>1.0170351152498475E-3</v>
      </c>
      <c r="AQ73" s="4">
        <f t="shared" ref="AQ73" si="1298">+X73/$D73</f>
        <v>0</v>
      </c>
      <c r="AR73" s="4">
        <f t="shared" ref="AR73" si="1299">+Y73/$D73</f>
        <v>0</v>
      </c>
    </row>
    <row r="74" spans="1:44" x14ac:dyDescent="0.25">
      <c r="A74">
        <f t="shared" si="108"/>
        <v>70</v>
      </c>
      <c r="B74" s="3">
        <f t="shared" si="1089"/>
        <v>45635</v>
      </c>
      <c r="C74" s="41">
        <v>573</v>
      </c>
      <c r="D74" s="2">
        <v>23312215.329999998</v>
      </c>
      <c r="E74" s="32">
        <v>7.5300000000000006E-2</v>
      </c>
      <c r="F74" s="8">
        <f t="shared" ref="F74" si="1300">+D74/D$4</f>
        <v>0.58280530398847863</v>
      </c>
      <c r="G74" s="2">
        <v>89528.12</v>
      </c>
      <c r="H74" s="8"/>
      <c r="I74" s="8"/>
      <c r="J74" s="8"/>
      <c r="K74" s="8"/>
      <c r="L74" s="8"/>
      <c r="M74" s="8"/>
      <c r="N74" s="6">
        <f t="shared" ref="N74" si="1301">G74/D73</f>
        <v>3.8143442658183742E-3</v>
      </c>
      <c r="O74" s="6">
        <f t="shared" ref="O74" si="1302">1-(+N74-1)^12</f>
        <v>4.4823987444448488E-2</v>
      </c>
      <c r="P74" s="20">
        <f t="shared" ref="P74" si="1303">AVERAGE(O72:O74)</f>
        <v>3.5009571580449074E-2</v>
      </c>
      <c r="Q74" s="20">
        <f t="shared" ref="Q74" si="1304">AVERAGE(O69:O74)</f>
        <v>3.186404727513923E-2</v>
      </c>
      <c r="R74" s="17">
        <f t="shared" ref="R74" si="1305">AVERAGE(O63:O74)</f>
        <v>3.6599691609171696E-2</v>
      </c>
      <c r="S74" s="26">
        <v>22734840.100000001</v>
      </c>
      <c r="T74" s="26">
        <v>483658.18</v>
      </c>
      <c r="U74" s="26">
        <v>0</v>
      </c>
      <c r="V74" s="26">
        <v>25371.96</v>
      </c>
      <c r="W74" s="26">
        <v>42803.67</v>
      </c>
      <c r="X74" s="26">
        <v>0</v>
      </c>
      <c r="Y74" s="26">
        <v>0</v>
      </c>
      <c r="Z74" s="26">
        <f t="shared" ref="Z74" si="1306">Z73+Y74</f>
        <v>379471.82</v>
      </c>
      <c r="AA74" s="4">
        <f t="shared" ref="AA74" si="1307">Z74/$D$4</f>
        <v>9.4867942097959877E-3</v>
      </c>
      <c r="AB74" s="2">
        <v>18443477.829999998</v>
      </c>
      <c r="AC74" s="8">
        <f t="shared" ref="AC74" si="1308">+AB74/$AB$4</f>
        <v>0.52396243835227263</v>
      </c>
      <c r="AD74" s="2">
        <f t="shared" ref="AD74" si="1309">AB74*$AD$2</f>
        <v>15718873.150568178</v>
      </c>
      <c r="AE74" s="2">
        <v>2371406.46</v>
      </c>
      <c r="AF74" s="8">
        <f t="shared" ref="AF74" si="1310">+AE74/$AE$4</f>
        <v>0.59285161499999994</v>
      </c>
      <c r="AG74" s="2">
        <v>800000</v>
      </c>
      <c r="AH74" s="8">
        <f t="shared" ref="AH74" si="1311">+AG74/$AG$4</f>
        <v>1</v>
      </c>
      <c r="AI74" s="8">
        <f t="shared" ref="AI74" si="1312">+AB74/D74</f>
        <v>0.79115080093934598</v>
      </c>
      <c r="AJ74" s="2">
        <v>246834.51</v>
      </c>
      <c r="AK74" s="4">
        <f t="shared" ref="AK74" si="1313">((+D74+AJ74)-AB74)/D74</f>
        <v>0.21943740384968391</v>
      </c>
      <c r="AL74" s="4">
        <f t="shared" ref="AL74" si="1314">+S74/$D74</f>
        <v>0.97523293167007663</v>
      </c>
      <c r="AM74" s="4">
        <f t="shared" ref="AM74" si="1315">+T74/$D74</f>
        <v>2.0746984924147921E-2</v>
      </c>
      <c r="AN74" s="4">
        <f t="shared" ref="AN74" si="1316">+U74/$D74</f>
        <v>0</v>
      </c>
      <c r="AO74" s="4">
        <f t="shared" ref="AO74" si="1317">+V74/$D74</f>
        <v>1.0883547376704847E-3</v>
      </c>
      <c r="AP74" s="4">
        <f t="shared" ref="AP74" si="1318">+W74/$D74</f>
        <v>1.8361047800084815E-3</v>
      </c>
      <c r="AQ74" s="4">
        <f t="shared" ref="AQ74" si="1319">+X74/$D74</f>
        <v>0</v>
      </c>
      <c r="AR74" s="4">
        <f t="shared" ref="AR74" si="1320">+Y74/$D74</f>
        <v>0</v>
      </c>
    </row>
    <row r="75" spans="1:44" x14ac:dyDescent="0.25">
      <c r="A75">
        <f t="shared" si="108"/>
        <v>71</v>
      </c>
      <c r="B75" s="3">
        <f t="shared" si="1089"/>
        <v>45666</v>
      </c>
      <c r="C75" s="41">
        <v>570</v>
      </c>
      <c r="D75" s="2">
        <v>23134703.370000001</v>
      </c>
      <c r="E75" s="32">
        <v>7.5300000000000006E-2</v>
      </c>
      <c r="F75" s="8">
        <f t="shared" ref="F75" si="1321">+D75/D$4</f>
        <v>0.57836750559201933</v>
      </c>
      <c r="G75" s="2">
        <v>86349.74</v>
      </c>
      <c r="H75" s="8"/>
      <c r="I75" s="8"/>
      <c r="J75" s="8"/>
      <c r="K75" s="8"/>
      <c r="L75" s="8"/>
      <c r="M75" s="8"/>
      <c r="N75" s="6">
        <f t="shared" ref="N75" si="1322">G75/D74</f>
        <v>3.7040555252970037E-3</v>
      </c>
      <c r="O75" s="6">
        <f t="shared" ref="O75" si="1323">1-(+N75-1)^12</f>
        <v>4.3554232214422561E-2</v>
      </c>
      <c r="P75" s="20">
        <f t="shared" ref="P75" si="1324">AVERAGE(O73:O75)</f>
        <v>4.0395896861454762E-2</v>
      </c>
      <c r="Q75" s="20">
        <f t="shared" ref="Q75" si="1325">AVERAGE(O70:O75)</f>
        <v>3.4207953662227474E-2</v>
      </c>
      <c r="R75" s="17">
        <f t="shared" ref="R75" si="1326">AVERAGE(O64:O75)</f>
        <v>3.0771837634565074E-2</v>
      </c>
      <c r="S75" s="26">
        <v>22470728.550000001</v>
      </c>
      <c r="T75" s="26">
        <v>539421.93000000005</v>
      </c>
      <c r="U75" s="26">
        <v>30835.84</v>
      </c>
      <c r="V75" s="26">
        <v>25371.96</v>
      </c>
      <c r="W75" s="26">
        <v>19832.39</v>
      </c>
      <c r="X75" s="26">
        <v>23871.279999999999</v>
      </c>
      <c r="Y75" s="26">
        <v>0</v>
      </c>
      <c r="Z75" s="26">
        <f t="shared" ref="Z75" si="1327">Z74+Y75</f>
        <v>379471.82</v>
      </c>
      <c r="AA75" s="4">
        <f t="shared" ref="AA75" si="1328">Z75/$D$4</f>
        <v>9.4867942097959877E-3</v>
      </c>
      <c r="AB75" s="2">
        <v>18265965.870000001</v>
      </c>
      <c r="AC75" s="8">
        <f t="shared" ref="AC75" si="1329">+AB75/$AB$4</f>
        <v>0.51891948494318185</v>
      </c>
      <c r="AD75" s="2">
        <f t="shared" ref="AD75" si="1330">AB75*$AD$2</f>
        <v>15567584.548295453</v>
      </c>
      <c r="AE75" s="2">
        <v>2348717.36</v>
      </c>
      <c r="AF75" s="8">
        <f t="shared" ref="AF75" si="1331">+AE75/$AE$4</f>
        <v>0.58717933999999994</v>
      </c>
      <c r="AG75" s="2">
        <v>800000</v>
      </c>
      <c r="AH75" s="8">
        <f t="shared" ref="AH75" si="1332">+AG75/$AG$4</f>
        <v>1</v>
      </c>
      <c r="AI75" s="8">
        <f t="shared" ref="AI75" si="1333">+AB75/D75</f>
        <v>0.78954830662261477</v>
      </c>
      <c r="AJ75" s="2">
        <v>244721.91</v>
      </c>
      <c r="AK75" s="4">
        <f t="shared" ref="AK75" si="1334">((+D75+AJ75)-AB75)/D75</f>
        <v>0.22102982382004061</v>
      </c>
      <c r="AL75" s="4">
        <f t="shared" ref="AL75" si="1335">+S75/$D75</f>
        <v>0.97129961818049448</v>
      </c>
      <c r="AM75" s="4">
        <f t="shared" ref="AM75" si="1336">+T75/$D75</f>
        <v>2.3316569975973721E-2</v>
      </c>
      <c r="AN75" s="4">
        <f t="shared" ref="AN75" si="1337">+U75/$D75</f>
        <v>1.3328824453390862E-3</v>
      </c>
      <c r="AO75" s="4">
        <f t="shared" ref="AO75" si="1338">+V75/$D75</f>
        <v>1.0967056544542155E-3</v>
      </c>
      <c r="AP75" s="4">
        <f t="shared" ref="AP75" si="1339">+W75/$D75</f>
        <v>8.5725715531402547E-4</v>
      </c>
      <c r="AQ75" s="4">
        <f t="shared" ref="AQ75" si="1340">+X75/$D75</f>
        <v>1.031838602735454E-3</v>
      </c>
      <c r="AR75" s="4">
        <f t="shared" ref="AR75" si="1341">+Y75/$D75</f>
        <v>0</v>
      </c>
    </row>
    <row r="76" spans="1:44" x14ac:dyDescent="0.25">
      <c r="A76">
        <f t="shared" si="108"/>
        <v>72</v>
      </c>
      <c r="B76" s="3">
        <f t="shared" si="1089"/>
        <v>45697</v>
      </c>
      <c r="C76" s="41">
        <v>566</v>
      </c>
      <c r="D76" s="2">
        <v>22920630.370000001</v>
      </c>
      <c r="E76" s="32">
        <v>7.5300000000000006E-2</v>
      </c>
      <c r="F76" s="8">
        <f t="shared" ref="F76" si="1342">+D76/D$4</f>
        <v>0.57301568131986735</v>
      </c>
      <c r="G76" s="2">
        <v>91344.09</v>
      </c>
      <c r="H76" s="8"/>
      <c r="I76" s="8"/>
      <c r="J76" s="8"/>
      <c r="K76" s="8"/>
      <c r="L76" s="8"/>
      <c r="M76" s="8"/>
      <c r="N76" s="6">
        <f t="shared" ref="N76" si="1343">G76/D75</f>
        <v>3.9483579512175947E-3</v>
      </c>
      <c r="O76" s="6">
        <f t="shared" ref="O76" si="1344">1-(+N76-1)^12</f>
        <v>4.6364808526111356E-2</v>
      </c>
      <c r="P76" s="20">
        <f t="shared" ref="P76" si="1345">AVERAGE(O74:O76)</f>
        <v>4.4914342728327471E-2</v>
      </c>
      <c r="Q76" s="20">
        <f t="shared" ref="Q76" si="1346">AVERAGE(O71:O76)</f>
        <v>3.4948854959956088E-2</v>
      </c>
      <c r="R76" s="17">
        <f t="shared" ref="R76" si="1347">AVERAGE(O65:O76)</f>
        <v>3.3750024146943086E-2</v>
      </c>
      <c r="S76" s="26">
        <v>22455132.920000002</v>
      </c>
      <c r="T76" s="26">
        <v>295301.40999999997</v>
      </c>
      <c r="U76" s="26">
        <v>57300.7</v>
      </c>
      <c r="V76" s="26">
        <v>63482.64</v>
      </c>
      <c r="W76" s="26">
        <v>0</v>
      </c>
      <c r="X76" s="26">
        <v>23871.279999999999</v>
      </c>
      <c r="Y76" s="26">
        <v>0</v>
      </c>
      <c r="Z76" s="26">
        <f t="shared" ref="Z76" si="1348">Z75+Y76</f>
        <v>379471.82</v>
      </c>
      <c r="AA76" s="4">
        <f t="shared" ref="AA76" si="1349">Z76/$D$4</f>
        <v>9.4867942097959877E-3</v>
      </c>
      <c r="AB76" s="2">
        <v>18051892.870000001</v>
      </c>
      <c r="AC76" s="8">
        <f t="shared" ref="AC76" si="1350">+AB76/$AB$4</f>
        <v>0.512837865625</v>
      </c>
      <c r="AD76" s="2">
        <f t="shared" ref="AD76" si="1351">AB76*$AD$2</f>
        <v>15385135.96875</v>
      </c>
      <c r="AE76" s="2">
        <v>2319141.4500000002</v>
      </c>
      <c r="AF76" s="8">
        <f t="shared" ref="AF76" si="1352">+AE76/$AE$4</f>
        <v>0.57978536250000001</v>
      </c>
      <c r="AG76" s="2">
        <v>800000</v>
      </c>
      <c r="AH76" s="8">
        <f t="shared" ref="AH76" si="1353">+AG76/$AG$4</f>
        <v>1</v>
      </c>
      <c r="AI76" s="8">
        <f t="shared" ref="AI76" si="1354">+AB76/D76</f>
        <v>0.78758274002915218</v>
      </c>
      <c r="AJ76" s="2">
        <v>242366.52</v>
      </c>
      <c r="AK76" s="4">
        <f t="shared" ref="AK76" si="1355">((+D76+AJ76)-AB76)/D76</f>
        <v>0.22299142464640684</v>
      </c>
      <c r="AL76" s="4">
        <f t="shared" ref="AL76" si="1356">+S76/$D76</f>
        <v>0.9796908966950022</v>
      </c>
      <c r="AM76" s="4">
        <f t="shared" ref="AM76" si="1357">+T76/$D76</f>
        <v>1.2883651332142658E-2</v>
      </c>
      <c r="AN76" s="4">
        <f t="shared" ref="AN76" si="1358">+U76/$D76</f>
        <v>2.499961784428008E-3</v>
      </c>
      <c r="AO76" s="4">
        <f t="shared" ref="AO76" si="1359">+V76/$D76</f>
        <v>2.7696725166464083E-3</v>
      </c>
      <c r="AP76" s="4">
        <f t="shared" ref="AP76" si="1360">+W76/$D76</f>
        <v>0</v>
      </c>
      <c r="AQ76" s="4">
        <f t="shared" ref="AQ76" si="1361">+X76/$D76</f>
        <v>1.0414757192386938E-3</v>
      </c>
      <c r="AR76" s="4">
        <f t="shared" ref="AR76" si="1362">+Y76/$D76</f>
        <v>0</v>
      </c>
    </row>
    <row r="77" spans="1:44" x14ac:dyDescent="0.25">
      <c r="A77">
        <f t="shared" si="108"/>
        <v>73</v>
      </c>
      <c r="B77" s="3">
        <f t="shared" si="1089"/>
        <v>45728</v>
      </c>
      <c r="C77" s="41">
        <v>564</v>
      </c>
      <c r="D77" s="2">
        <v>22838922.07</v>
      </c>
      <c r="E77" s="32">
        <v>7.5300000000000006E-2</v>
      </c>
      <c r="F77" s="8">
        <f t="shared" ref="F77" si="1363">+D77/D$4</f>
        <v>0.57097297409767556</v>
      </c>
      <c r="G77" s="2">
        <v>2260.64</v>
      </c>
      <c r="H77" s="8"/>
      <c r="I77" s="8"/>
      <c r="J77" s="8"/>
      <c r="K77" s="8"/>
      <c r="L77" s="8"/>
      <c r="M77" s="8"/>
      <c r="N77" s="6">
        <f t="shared" ref="N77" si="1364">G77/D76</f>
        <v>9.86290500526055E-5</v>
      </c>
      <c r="O77" s="6">
        <f t="shared" ref="O77" si="1365">1-(+N77-1)^12</f>
        <v>1.1829067841518937E-3</v>
      </c>
      <c r="P77" s="20">
        <f t="shared" ref="P77" si="1366">AVERAGE(O75:O77)</f>
        <v>3.0367315841561937E-2</v>
      </c>
      <c r="Q77" s="20">
        <f t="shared" ref="Q77" si="1367">AVERAGE(O72:O77)</f>
        <v>3.2688443711005509E-2</v>
      </c>
      <c r="R77" s="17">
        <f t="shared" ref="R77" si="1368">AVERAGE(O66:O77)</f>
        <v>3.3848598109223631E-2</v>
      </c>
      <c r="S77" s="26">
        <v>22379033.379999999</v>
      </c>
      <c r="T77" s="26">
        <v>280525.59999999998</v>
      </c>
      <c r="U77" s="26">
        <v>104578.43</v>
      </c>
      <c r="V77" s="26">
        <v>25371.96</v>
      </c>
      <c r="W77" s="26">
        <v>0</v>
      </c>
      <c r="X77" s="26">
        <v>23871.279999999999</v>
      </c>
      <c r="Y77" s="26">
        <v>0</v>
      </c>
      <c r="Z77" s="26">
        <f t="shared" ref="Z77" si="1369">Z76+Y77</f>
        <v>379471.82</v>
      </c>
      <c r="AA77" s="4">
        <f t="shared" ref="AA77" si="1370">Z77/$D$4</f>
        <v>9.4867942097959877E-3</v>
      </c>
      <c r="AB77" s="2">
        <v>17970184.57</v>
      </c>
      <c r="AC77" s="8">
        <f t="shared" ref="AC77" si="1371">+AB77/$AB$4</f>
        <v>0.51051660710227276</v>
      </c>
      <c r="AD77" s="2">
        <f t="shared" ref="AD77" si="1372">AB77*$AD$2</f>
        <v>15315498.21306818</v>
      </c>
      <c r="AE77" s="2">
        <v>2304721.25</v>
      </c>
      <c r="AF77" s="8">
        <f t="shared" ref="AF77" si="1373">+AE77/$AE$4</f>
        <v>0.57618031250000001</v>
      </c>
      <c r="AG77" s="2">
        <v>800000</v>
      </c>
      <c r="AH77" s="8">
        <f t="shared" ref="AH77" si="1374">+AG77/$AG$4</f>
        <v>1</v>
      </c>
      <c r="AI77" s="8">
        <f t="shared" ref="AI77" si="1375">+AB77/D77</f>
        <v>0.78682279815669076</v>
      </c>
      <c r="AJ77" s="2">
        <f>79842.02*3</f>
        <v>239526.06</v>
      </c>
      <c r="AK77" s="4">
        <f t="shared" ref="AK77" si="1376">((+D77+AJ77)-AB77)/D77</f>
        <v>0.22366482727790132</v>
      </c>
      <c r="AL77" s="4">
        <f t="shared" ref="AL77" si="1377">+S77/$D77</f>
        <v>0.97986381806503531</v>
      </c>
      <c r="AM77" s="4">
        <f t="shared" ref="AM77" si="1378">+T77/$D77</f>
        <v>1.2282786339048968E-2</v>
      </c>
      <c r="AN77" s="4">
        <f t="shared" ref="AN77" si="1379">+U77/$D77</f>
        <v>4.5789564708646514E-3</v>
      </c>
      <c r="AO77" s="4">
        <f t="shared" ref="AO77" si="1380">+V77/$D77</f>
        <v>1.1109088214512218E-3</v>
      </c>
      <c r="AP77" s="4">
        <f t="shared" ref="AP77" si="1381">+W77/$D77</f>
        <v>0</v>
      </c>
      <c r="AQ77" s="4">
        <f t="shared" ref="AQ77" si="1382">+X77/$D77</f>
        <v>1.0452016923931822E-3</v>
      </c>
      <c r="AR77" s="4">
        <f t="shared" ref="AR77" si="1383">+Y77/$D77</f>
        <v>0</v>
      </c>
    </row>
    <row r="78" spans="1:44" x14ac:dyDescent="0.25">
      <c r="A78">
        <f t="shared" si="108"/>
        <v>74</v>
      </c>
      <c r="B78" s="3">
        <f t="shared" si="1089"/>
        <v>45759</v>
      </c>
      <c r="C78" s="41">
        <v>562</v>
      </c>
      <c r="D78" s="2">
        <v>22558979.68</v>
      </c>
      <c r="E78" s="32">
        <v>7.5300000000000006E-2</v>
      </c>
      <c r="F78" s="8">
        <f t="shared" ref="F78" si="1384">+D78/D$4</f>
        <v>0.56397441529947956</v>
      </c>
      <c r="G78" s="2">
        <v>74558.58</v>
      </c>
      <c r="H78" s="8"/>
      <c r="I78" s="8"/>
      <c r="J78" s="8"/>
      <c r="K78" s="8"/>
      <c r="L78" s="8"/>
      <c r="M78" s="8"/>
      <c r="N78" s="6">
        <f t="shared" ref="N78" si="1385">G78/D77</f>
        <v>3.2645402340566766E-3</v>
      </c>
      <c r="O78" s="6">
        <f t="shared" ref="O78" si="1386">1-(+N78-1)^12</f>
        <v>3.8478704172149714E-2</v>
      </c>
      <c r="P78" s="20">
        <f t="shared" ref="P78" si="1387">AVERAGE(O76:O78)</f>
        <v>2.8675473160804321E-2</v>
      </c>
      <c r="Q78" s="20">
        <f t="shared" ref="Q78" si="1388">AVERAGE(O73:O78)</f>
        <v>3.4535685011129545E-2</v>
      </c>
      <c r="R78" s="17">
        <f t="shared" ref="R78" si="1389">AVERAGE(O67:O78)</f>
        <v>3.7055156790236105E-2</v>
      </c>
      <c r="S78" s="26">
        <v>22111730.030000001</v>
      </c>
      <c r="T78" s="26">
        <v>279661.76</v>
      </c>
      <c r="U78" s="26">
        <v>116371.96</v>
      </c>
      <c r="V78" s="26">
        <v>25371.96</v>
      </c>
      <c r="W78" s="26">
        <v>0</v>
      </c>
      <c r="X78" s="26">
        <v>0</v>
      </c>
      <c r="Y78" s="26">
        <v>0</v>
      </c>
      <c r="Z78" s="26">
        <f t="shared" ref="Z78" si="1390">Z77+Y78</f>
        <v>379471.82</v>
      </c>
      <c r="AA78" s="4">
        <f t="shared" ref="AA78" si="1391">Z78/$D$4</f>
        <v>9.4867942097959877E-3</v>
      </c>
      <c r="AB78" s="2">
        <v>17690242.18</v>
      </c>
      <c r="AC78" s="8">
        <f t="shared" ref="AC78" si="1392">+AB78/$AB$4</f>
        <v>0.50256369829545455</v>
      </c>
      <c r="AD78" s="2">
        <f t="shared" ref="AD78" si="1393">AB78*$AD$2</f>
        <v>15076910.948863635</v>
      </c>
      <c r="AE78" s="2">
        <v>2279787.7000000002</v>
      </c>
      <c r="AF78" s="8">
        <f t="shared" ref="AF78" si="1394">+AE78/$AE$4</f>
        <v>0.56994692499999999</v>
      </c>
      <c r="AG78" s="2">
        <v>800000</v>
      </c>
      <c r="AH78" s="8">
        <f t="shared" ref="AH78" si="1395">+AG78/$AG$4</f>
        <v>1</v>
      </c>
      <c r="AI78" s="8">
        <f t="shared" ref="AI78" si="1396">+AB78/D78</f>
        <v>0.78417740655547241</v>
      </c>
      <c r="AJ78" s="2">
        <f>79842.02*3</f>
        <v>239526.06</v>
      </c>
      <c r="AK78" s="4">
        <f t="shared" ref="AK78" si="1397">((+D78+AJ78)-AB78)/D78</f>
        <v>0.22644036354750591</v>
      </c>
      <c r="AL78" s="4">
        <f t="shared" ref="AL78" si="1398">+S78/$D78</f>
        <v>0.98017420750653383</v>
      </c>
      <c r="AM78" s="4">
        <f t="shared" ref="AM78" si="1399">+T78/$D78</f>
        <v>1.2396915284601205E-2</v>
      </c>
      <c r="AN78" s="4">
        <f t="shared" ref="AN78" si="1400">+U78/$D78</f>
        <v>5.1585648664408037E-3</v>
      </c>
      <c r="AO78" s="4">
        <f t="shared" ref="AO78" si="1401">+V78/$D78</f>
        <v>1.1246944835228471E-3</v>
      </c>
      <c r="AP78" s="4">
        <f t="shared" ref="AP78" si="1402">+W78/$D78</f>
        <v>0</v>
      </c>
      <c r="AQ78" s="4">
        <f t="shared" ref="AQ78" si="1403">+X78/$D78</f>
        <v>0</v>
      </c>
      <c r="AR78" s="4">
        <f t="shared" ref="AR78" si="1404">+Y78/$D78</f>
        <v>0</v>
      </c>
    </row>
    <row r="79" spans="1:44" x14ac:dyDescent="0.25">
      <c r="A79">
        <f t="shared" si="108"/>
        <v>75</v>
      </c>
      <c r="B79" s="3">
        <f t="shared" si="1089"/>
        <v>45790</v>
      </c>
      <c r="C79" s="41">
        <v>558</v>
      </c>
      <c r="D79" s="2">
        <v>22332778.050000001</v>
      </c>
      <c r="E79" s="32">
        <v>7.5300000000000006E-2</v>
      </c>
      <c r="F79" s="8">
        <f t="shared" ref="F79" si="1405">+D79/D$4</f>
        <v>0.55831937531856501</v>
      </c>
      <c r="G79" s="2">
        <v>148922.21</v>
      </c>
      <c r="H79" s="8"/>
      <c r="I79" s="8"/>
      <c r="J79" s="8"/>
      <c r="K79" s="8"/>
      <c r="L79" s="8"/>
      <c r="M79" s="8"/>
      <c r="N79" s="6">
        <f t="shared" ref="N79" si="1406">G79/D78</f>
        <v>6.6014603546998719E-3</v>
      </c>
      <c r="O79" s="6">
        <f t="shared" ref="O79" si="1407">1-(+N79-1)^12</f>
        <v>7.6403652740939743E-2</v>
      </c>
      <c r="P79" s="20">
        <f t="shared" ref="P79" si="1408">AVERAGE(O77:O79)</f>
        <v>3.8688421232413783E-2</v>
      </c>
      <c r="Q79" s="20">
        <f t="shared" ref="Q79" si="1409">AVERAGE(O74:O79)</f>
        <v>4.1801381980370624E-2</v>
      </c>
      <c r="R79" s="17">
        <f t="shared" ref="R79" si="1410">AVERAGE(O68:O79)</f>
        <v>4.2591123807530377E-2</v>
      </c>
      <c r="S79" s="26">
        <v>21858748.469999999</v>
      </c>
      <c r="T79" s="26">
        <v>215810.42</v>
      </c>
      <c r="U79" s="26">
        <v>169219.05</v>
      </c>
      <c r="V79" s="26">
        <v>63458.69</v>
      </c>
      <c r="W79" s="26">
        <v>0</v>
      </c>
      <c r="X79" s="26">
        <v>0</v>
      </c>
      <c r="Y79" s="26">
        <v>0</v>
      </c>
      <c r="Z79" s="26">
        <f t="shared" ref="Z79" si="1411">Z78+Y79</f>
        <v>379471.82</v>
      </c>
      <c r="AA79" s="4">
        <f t="shared" ref="AA79" si="1412">Z79/$D$4</f>
        <v>9.4867942097959877E-3</v>
      </c>
      <c r="AB79" s="2">
        <v>17464040.550000001</v>
      </c>
      <c r="AC79" s="8">
        <f t="shared" ref="AC79" si="1413">+AB79/$AB$4</f>
        <v>0.49613751562500003</v>
      </c>
      <c r="AD79" s="2">
        <f t="shared" ref="AD79" si="1414">AB79*$AD$2</f>
        <v>14884125.468749998</v>
      </c>
      <c r="AE79" s="2">
        <v>2259811.54</v>
      </c>
      <c r="AF79" s="8">
        <f t="shared" ref="AF79" si="1415">+AE79/$AE$4</f>
        <v>0.56495288499999996</v>
      </c>
      <c r="AG79" s="2">
        <v>800000</v>
      </c>
      <c r="AH79" s="8">
        <f t="shared" ref="AH79" si="1416">+AG79/$AG$4</f>
        <v>1</v>
      </c>
      <c r="AI79" s="8">
        <f t="shared" ref="AI79" si="1417">+AB79/D79</f>
        <v>0.78199140791622201</v>
      </c>
      <c r="AJ79" s="2">
        <f>79842.02*3</f>
        <v>239526.06</v>
      </c>
      <c r="AK79" s="4">
        <f t="shared" ref="AK79" si="1418">((+D79+AJ79)-AB79)/D79</f>
        <v>0.228733906214592</v>
      </c>
      <c r="AL79" s="4">
        <f t="shared" ref="AL79" si="1419">+S79/$D79</f>
        <v>0.97877426718079075</v>
      </c>
      <c r="AM79" s="4">
        <f t="shared" ref="AM79" si="1420">+T79/$D79</f>
        <v>9.6633933994611128E-3</v>
      </c>
      <c r="AN79" s="4">
        <f t="shared" ref="AN79" si="1421">+U79/$D79</f>
        <v>7.5771607822878971E-3</v>
      </c>
      <c r="AO79" s="4">
        <f t="shared" ref="AO79" si="1422">+V79/$D79</f>
        <v>2.8415045301540529E-3</v>
      </c>
      <c r="AP79" s="4">
        <f t="shared" ref="AP79" si="1423">+W79/$D79</f>
        <v>0</v>
      </c>
      <c r="AQ79" s="4">
        <f t="shared" ref="AQ79" si="1424">+X79/$D79</f>
        <v>0</v>
      </c>
      <c r="AR79" s="4">
        <f t="shared" ref="AR79" si="1425">+Y79/$D79</f>
        <v>0</v>
      </c>
    </row>
    <row r="80" spans="1:44" x14ac:dyDescent="0.25">
      <c r="A80">
        <f t="shared" si="108"/>
        <v>76</v>
      </c>
      <c r="B80" s="3">
        <f t="shared" si="1089"/>
        <v>45821</v>
      </c>
      <c r="C80" s="41">
        <v>555</v>
      </c>
      <c r="D80" s="2">
        <v>22210036.75</v>
      </c>
      <c r="E80" s="32">
        <v>7.5300000000000006E-2</v>
      </c>
      <c r="F80" s="8">
        <f t="shared" ref="F80" si="1426">+D80/D$4</f>
        <v>0.55525084323588536</v>
      </c>
      <c r="G80" s="2">
        <v>22746.29</v>
      </c>
      <c r="H80" s="8"/>
      <c r="I80" s="8"/>
      <c r="J80" s="8"/>
      <c r="K80" s="8"/>
      <c r="L80" s="8"/>
      <c r="M80" s="8"/>
      <c r="N80" s="6">
        <f t="shared" ref="N80" si="1427">G80/D79</f>
        <v>1.0185159208171148E-3</v>
      </c>
      <c r="O80" s="6">
        <f t="shared" ref="O80" si="1428">1-(+N80-1)^12</f>
        <v>1.2153956237215602E-2</v>
      </c>
      <c r="P80" s="20">
        <f t="shared" ref="P80" si="1429">AVERAGE(O78:O80)</f>
        <v>4.2345437716768353E-2</v>
      </c>
      <c r="Q80" s="20">
        <f t="shared" ref="Q80" si="1430">AVERAGE(O75:O80)</f>
        <v>3.6356376779165145E-2</v>
      </c>
      <c r="R80" s="17">
        <f t="shared" ref="R80" si="1431">AVERAGE(O69:O80)</f>
        <v>3.4110212027152191E-2</v>
      </c>
      <c r="S80" s="26">
        <v>21763788.640000001</v>
      </c>
      <c r="T80" s="26">
        <v>172523.07</v>
      </c>
      <c r="U80" s="26">
        <v>203694.96</v>
      </c>
      <c r="V80" s="26">
        <v>0</v>
      </c>
      <c r="W80" s="26">
        <v>44488.66</v>
      </c>
      <c r="X80" s="26">
        <v>0</v>
      </c>
      <c r="Y80" s="26">
        <v>0</v>
      </c>
      <c r="Z80" s="26">
        <f t="shared" ref="Z80" si="1432">Z79+Y80</f>
        <v>379471.82</v>
      </c>
      <c r="AA80" s="4">
        <f t="shared" ref="AA80" si="1433">Z80/$D$4</f>
        <v>9.4867942097959877E-3</v>
      </c>
      <c r="AB80" s="2">
        <v>17341299.25</v>
      </c>
      <c r="AC80" s="8">
        <f t="shared" ref="AC80" si="1434">+AB80/$AB$4</f>
        <v>0.49265054687499998</v>
      </c>
      <c r="AD80" s="2">
        <f t="shared" ref="AD80" si="1435">AB80*$AD$2</f>
        <v>14779516.406249998</v>
      </c>
      <c r="AE80" s="2">
        <v>2233636.79</v>
      </c>
      <c r="AF80" s="8">
        <f t="shared" ref="AF80" si="1436">+AE80/$AE$4</f>
        <v>0.55840919749999995</v>
      </c>
      <c r="AG80" s="2">
        <v>800000</v>
      </c>
      <c r="AH80" s="8">
        <f t="shared" ref="AH80" si="1437">+AG80/$AG$4</f>
        <v>1</v>
      </c>
      <c r="AI80" s="8">
        <f t="shared" ref="AI80" si="1438">+AB80/D80</f>
        <v>0.78078660765835972</v>
      </c>
      <c r="AJ80" s="2">
        <f>79842.02*3</f>
        <v>239526.06</v>
      </c>
      <c r="AK80" s="4">
        <f t="shared" ref="AK80" si="1439">((+D80+AJ80)-AB80)/D80</f>
        <v>0.22999797872914365</v>
      </c>
      <c r="AL80" s="4">
        <f t="shared" ref="AL80" si="1440">+S80/$D80</f>
        <v>0.97990781757711409</v>
      </c>
      <c r="AM80" s="4">
        <f t="shared" ref="AM80" si="1441">+T80/$D80</f>
        <v>7.7677975926807056E-3</v>
      </c>
      <c r="AN80" s="4">
        <f t="shared" ref="AN80" si="1442">+U80/$D80</f>
        <v>9.1713022491959634E-3</v>
      </c>
      <c r="AO80" s="4">
        <f t="shared" ref="AO80" si="1443">+V80/$D80</f>
        <v>0</v>
      </c>
      <c r="AP80" s="4">
        <f t="shared" ref="AP80" si="1444">+W80/$D80</f>
        <v>2.0030880858402903E-3</v>
      </c>
      <c r="AQ80" s="4">
        <f t="shared" ref="AQ80" si="1445">+X80/$D80</f>
        <v>0</v>
      </c>
      <c r="AR80" s="4">
        <f t="shared" ref="AR80" si="1446">+Y80/$D80</f>
        <v>0</v>
      </c>
    </row>
    <row r="81" spans="1:44" x14ac:dyDescent="0.25">
      <c r="A81">
        <f t="shared" si="108"/>
        <v>77</v>
      </c>
      <c r="B81" s="3">
        <f t="shared" si="1089"/>
        <v>45852</v>
      </c>
      <c r="C81" s="41">
        <v>552</v>
      </c>
      <c r="D81" s="2">
        <v>22124407.699999999</v>
      </c>
      <c r="E81" s="32">
        <v>7.5300000000000006E-2</v>
      </c>
      <c r="F81" s="8">
        <f t="shared" ref="F81" si="1447">+D81/D$4</f>
        <v>0.55311011727702408</v>
      </c>
      <c r="G81" s="2">
        <v>7785.09</v>
      </c>
      <c r="H81" s="8"/>
      <c r="I81" s="8"/>
      <c r="J81" s="8"/>
      <c r="K81" s="8"/>
      <c r="L81" s="8"/>
      <c r="M81" s="8"/>
      <c r="N81" s="6">
        <f t="shared" ref="N81" si="1448">G81/D80</f>
        <v>3.5052125701683047E-4</v>
      </c>
      <c r="O81" s="6">
        <f t="shared" ref="O81" si="1449">1-(+N81-1)^12</f>
        <v>4.1981554514333164E-3</v>
      </c>
      <c r="P81" s="20">
        <f t="shared" ref="P81" si="1450">AVERAGE(O79:O81)</f>
        <v>3.0918588143196219E-2</v>
      </c>
      <c r="Q81" s="20">
        <f t="shared" ref="Q81" si="1451">AVERAGE(O76:O81)</f>
        <v>2.9797030652000272E-2</v>
      </c>
      <c r="R81" s="17">
        <f t="shared" ref="R81" si="1452">AVERAGE(O70:O81)</f>
        <v>3.2002492157113871E-2</v>
      </c>
      <c r="S81" s="26">
        <v>21559821.879999999</v>
      </c>
      <c r="T81" s="26">
        <v>295392.39</v>
      </c>
      <c r="U81" s="26">
        <v>145258.09</v>
      </c>
      <c r="V81" s="26">
        <v>53960.2</v>
      </c>
      <c r="W81" s="26">
        <v>44434.02</v>
      </c>
      <c r="X81" s="26">
        <v>0</v>
      </c>
      <c r="Y81" s="26">
        <v>0</v>
      </c>
      <c r="Z81" s="26">
        <f t="shared" ref="Z81" si="1453">Z80+Y81</f>
        <v>379471.82</v>
      </c>
      <c r="AA81" s="4">
        <f t="shared" ref="AA81" si="1454">Z81/$D$4</f>
        <v>9.4867942097959877E-3</v>
      </c>
      <c r="AB81" s="2">
        <v>17255670.199999999</v>
      </c>
      <c r="AC81" s="8">
        <f t="shared" ref="AC81" si="1455">+AB81/$AB$4</f>
        <v>0.49021790340909088</v>
      </c>
      <c r="AD81" s="2">
        <f t="shared" ref="AD81" si="1456">AB81*$AD$2</f>
        <v>14706537.102272725</v>
      </c>
      <c r="AE81" s="2">
        <v>2217591.36</v>
      </c>
      <c r="AF81" s="8">
        <f t="shared" ref="AF81" si="1457">+AE81/$AE$4</f>
        <v>0.55439783999999992</v>
      </c>
      <c r="AG81" s="2">
        <v>800000</v>
      </c>
      <c r="AH81" s="8">
        <f t="shared" ref="AH81" si="1458">+AG81/$AG$4</f>
        <v>1</v>
      </c>
      <c r="AI81" s="8">
        <f t="shared" ref="AI81" si="1459">+AB81/D81</f>
        <v>0.77993817660483633</v>
      </c>
      <c r="AJ81" s="2">
        <f>76699.12*3</f>
        <v>230097.36</v>
      </c>
      <c r="AK81" s="4">
        <f t="shared" ref="AK81" si="1460">((+D81+AJ81)-AB81)/D81</f>
        <v>0.23046198249185218</v>
      </c>
      <c r="AL81" s="4">
        <f t="shared" ref="AL81" si="1461">+S81/$D81</f>
        <v>0.97448131368506641</v>
      </c>
      <c r="AM81" s="4">
        <f t="shared" ref="AM81" si="1462">+T81/$D81</f>
        <v>1.3351425900545126E-2</v>
      </c>
      <c r="AN81" s="4">
        <f t="shared" ref="AN81" si="1463">+U81/$D81</f>
        <v>6.5655131639976065E-3</v>
      </c>
      <c r="AO81" s="4">
        <f t="shared" ref="AO81" si="1464">+V81/$D81</f>
        <v>2.4389443881021955E-3</v>
      </c>
      <c r="AP81" s="4">
        <f t="shared" ref="AP81" si="1465">+W81/$D81</f>
        <v>2.0083710534768351E-3</v>
      </c>
      <c r="AQ81" s="4">
        <f t="shared" ref="AQ81" si="1466">+X81/$D81</f>
        <v>0</v>
      </c>
      <c r="AR81" s="4">
        <f t="shared" ref="AR81" si="1467">+Y81/$D81</f>
        <v>0</v>
      </c>
    </row>
    <row r="82" spans="1:44" x14ac:dyDescent="0.25">
      <c r="A82">
        <f t="shared" si="108"/>
        <v>78</v>
      </c>
      <c r="B82" s="3">
        <f t="shared" si="1089"/>
        <v>45883</v>
      </c>
      <c r="C82" s="41">
        <v>550</v>
      </c>
      <c r="D82" s="2">
        <v>22021294.219999999</v>
      </c>
      <c r="E82" s="32">
        <v>7.5300000000000006E-2</v>
      </c>
      <c r="F82" s="8">
        <f t="shared" ref="F82" si="1468">+D82/D$4</f>
        <v>0.55053228062760984</v>
      </c>
      <c r="G82" s="2">
        <v>28707.16</v>
      </c>
      <c r="H82" s="8"/>
      <c r="I82" s="8"/>
      <c r="J82" s="8"/>
      <c r="K82" s="8"/>
      <c r="L82" s="8"/>
      <c r="M82" s="8"/>
      <c r="N82" s="6">
        <f t="shared" ref="N82" si="1469">G82/D81</f>
        <v>1.297533492840127E-3</v>
      </c>
      <c r="O82" s="6">
        <f t="shared" ref="O82" si="1470">1-(+N82-1)^12</f>
        <v>1.5459763959101425E-2</v>
      </c>
      <c r="P82" s="20">
        <f t="shared" ref="P82" si="1471">AVERAGE(O80:O82)</f>
        <v>1.0603958549250114E-2</v>
      </c>
      <c r="Q82" s="20">
        <f t="shared" ref="Q82" si="1472">AVERAGE(O77:O82)</f>
        <v>2.4646189890831949E-2</v>
      </c>
      <c r="R82" s="17">
        <f t="shared" ref="R82" si="1473">AVERAGE(O71:O82)</f>
        <v>2.9797522425394019E-2</v>
      </c>
      <c r="S82" s="26">
        <v>21451182.940000001</v>
      </c>
      <c r="T82" s="26">
        <v>300622.98</v>
      </c>
      <c r="U82" s="26">
        <v>134192.65</v>
      </c>
      <c r="V82" s="26">
        <v>65358.49</v>
      </c>
      <c r="W82" s="26">
        <v>25217.45</v>
      </c>
      <c r="X82" s="26">
        <v>19178.29</v>
      </c>
      <c r="Y82" s="26">
        <v>0</v>
      </c>
      <c r="Z82" s="26">
        <f t="shared" ref="Z82" si="1474">Z81+Y82</f>
        <v>379471.82</v>
      </c>
      <c r="AA82" s="4">
        <f t="shared" ref="AA82" si="1475">Z82/$D$4</f>
        <v>9.4867942097959877E-3</v>
      </c>
      <c r="AB82" s="2">
        <v>17152556.719999999</v>
      </c>
      <c r="AC82" s="8">
        <f t="shared" ref="AC82" si="1476">+AB82/$AB$4</f>
        <v>0.48728854318181813</v>
      </c>
      <c r="AD82" s="2">
        <f t="shared" ref="AD82" si="1477">AB82*$AD$2</f>
        <v>14618656.295454543</v>
      </c>
      <c r="AE82" s="2">
        <v>2189687.15</v>
      </c>
      <c r="AF82" s="8">
        <f t="shared" ref="AF82" si="1478">+AE82/$AE$4</f>
        <v>0.54742178749999992</v>
      </c>
      <c r="AG82" s="2">
        <v>800000</v>
      </c>
      <c r="AH82" s="8">
        <f t="shared" ref="AH82" si="1479">+AG82/$AG$4</f>
        <v>1</v>
      </c>
      <c r="AI82" s="8">
        <f t="shared" ref="AI82" si="1480">+AB82/D82</f>
        <v>0.77890774941019791</v>
      </c>
      <c r="AJ82" s="2">
        <f>76320.39*3</f>
        <v>228961.16999999998</v>
      </c>
      <c r="AK82" s="4">
        <f t="shared" ref="AK82" si="1481">((+D82+AJ82)-AB82)/D82</f>
        <v>0.23148951279031602</v>
      </c>
      <c r="AL82" s="4">
        <f t="shared" ref="AL82" si="1482">+S82/$D82</f>
        <v>0.97411090945407675</v>
      </c>
      <c r="AM82" s="4">
        <f t="shared" ref="AM82" si="1483">+T82/$D82</f>
        <v>1.3651467393182124E-2</v>
      </c>
      <c r="AN82" s="4">
        <f t="shared" ref="AN82" si="1484">+U82/$D82</f>
        <v>6.0937676350613697E-3</v>
      </c>
      <c r="AO82" s="4">
        <f t="shared" ref="AO82" si="1485">+V82/$D82</f>
        <v>2.9679677019455401E-3</v>
      </c>
      <c r="AP82" s="4">
        <f t="shared" ref="AP82" si="1486">+W82/$D82</f>
        <v>1.1451393250582528E-3</v>
      </c>
      <c r="AQ82" s="4">
        <f t="shared" ref="AQ82" si="1487">+X82/$D82</f>
        <v>8.708974962326261E-4</v>
      </c>
      <c r="AR82" s="4">
        <f t="shared" ref="AR82" si="1488">+Y82/$D82</f>
        <v>0</v>
      </c>
    </row>
    <row r="83" spans="1:44" x14ac:dyDescent="0.25">
      <c r="A83">
        <f t="shared" si="108"/>
        <v>79</v>
      </c>
      <c r="B83" s="3">
        <f t="shared" si="1089"/>
        <v>45914</v>
      </c>
      <c r="C83" s="41">
        <v>548</v>
      </c>
      <c r="D83" s="2">
        <v>21913298.609999999</v>
      </c>
      <c r="E83" s="32">
        <v>7.5300000000000006E-2</v>
      </c>
      <c r="F83" s="8">
        <f t="shared" ref="F83" si="1489">+D83/D$4</f>
        <v>0.54783239074479484</v>
      </c>
      <c r="G83" s="2">
        <v>178.73</v>
      </c>
      <c r="H83" s="8"/>
      <c r="I83" s="8"/>
      <c r="J83" s="8"/>
      <c r="K83" s="8"/>
      <c r="L83" s="8"/>
      <c r="M83" s="8"/>
      <c r="N83" s="6">
        <f t="shared" ref="N83" si="1490">G83/D82</f>
        <v>8.1162350502394767E-6</v>
      </c>
      <c r="O83" s="6">
        <f t="shared" ref="O83" si="1491">1-(+N83-1)^12</f>
        <v>9.7390473084768558E-5</v>
      </c>
      <c r="P83" s="20">
        <f t="shared" ref="P83" si="1492">AVERAGE(O81:O83)</f>
        <v>6.5851032945398362E-3</v>
      </c>
      <c r="Q83" s="20">
        <f t="shared" ref="Q83" si="1493">AVERAGE(O78:O83)</f>
        <v>2.4465270505654096E-2</v>
      </c>
      <c r="R83" s="17">
        <f t="shared" ref="R83" si="1494">AVERAGE(O72:O83)</f>
        <v>2.8576857108329801E-2</v>
      </c>
      <c r="S83" s="26">
        <v>21357730.359999999</v>
      </c>
      <c r="T83" s="26">
        <v>291959.42</v>
      </c>
      <c r="U83" s="26">
        <v>72519.360000000001</v>
      </c>
      <c r="V83" s="26">
        <v>92409.56</v>
      </c>
      <c r="W83" s="26">
        <v>53960.2</v>
      </c>
      <c r="X83" s="26">
        <v>0</v>
      </c>
      <c r="Y83" s="26">
        <v>19178.29</v>
      </c>
      <c r="Z83" s="26">
        <f t="shared" ref="Z83" si="1495">Z82+Y83</f>
        <v>398650.11</v>
      </c>
      <c r="AA83" s="4">
        <f t="shared" ref="AA83" si="1496">Z83/$D$4</f>
        <v>9.9662513945898111E-3</v>
      </c>
      <c r="AB83" s="2">
        <v>17025382.82</v>
      </c>
      <c r="AC83" s="8">
        <f t="shared" ref="AC83" si="1497">+AB83/$AB$4</f>
        <v>0.48367564829545456</v>
      </c>
      <c r="AD83" s="2">
        <f t="shared" ref="AD83" si="1498">AB83*$AD$2</f>
        <v>14510269.448863635</v>
      </c>
      <c r="AE83" s="2">
        <v>2189687.15</v>
      </c>
      <c r="AF83" s="8">
        <f t="shared" ref="AF83" si="1499">+AE83/$AE$4</f>
        <v>0.54742178749999992</v>
      </c>
      <c r="AG83" s="2">
        <v>800000</v>
      </c>
      <c r="AH83" s="8">
        <f t="shared" ref="AH83" si="1500">+AG83/$AG$4</f>
        <v>1</v>
      </c>
      <c r="AI83" s="8">
        <f t="shared" ref="AI83" si="1501">+AB83/D83</f>
        <v>0.77694294788784424</v>
      </c>
      <c r="AJ83" s="2">
        <f>75864.33*3</f>
        <v>227592.99</v>
      </c>
      <c r="AK83" s="4">
        <f t="shared" ref="AK83" si="1502">((+D83+AJ83)-AB83)/D83</f>
        <v>0.23344311922375605</v>
      </c>
      <c r="AL83" s="4">
        <f t="shared" ref="AL83" si="1503">+S83/$D83</f>
        <v>0.97464698218704193</v>
      </c>
      <c r="AM83" s="4">
        <f t="shared" ref="AM83" si="1504">+T83/$D83</f>
        <v>1.3323389837199868E-2</v>
      </c>
      <c r="AN83" s="4">
        <f t="shared" ref="AN83" si="1505">+U83/$D83</f>
        <v>3.3093767072980163E-3</v>
      </c>
      <c r="AO83" s="4">
        <f t="shared" ref="AO83" si="1506">+V83/$D83</f>
        <v>4.2170538377015255E-3</v>
      </c>
      <c r="AP83" s="4">
        <f t="shared" ref="AP83" si="1507">+W83/$D83</f>
        <v>2.4624407744517109E-3</v>
      </c>
      <c r="AQ83" s="4">
        <f t="shared" ref="AQ83" si="1508">+X83/$D83</f>
        <v>0</v>
      </c>
      <c r="AR83" s="4">
        <f t="shared" ref="AR83" si="1509">+Y83/$D83</f>
        <v>8.7518955230446709E-4</v>
      </c>
    </row>
    <row r="84" spans="1:44" x14ac:dyDescent="0.25">
      <c r="A84">
        <f t="shared" si="108"/>
        <v>80</v>
      </c>
      <c r="B84" s="3">
        <f t="shared" si="1089"/>
        <v>45945</v>
      </c>
      <c r="C84" s="41">
        <v>545</v>
      </c>
      <c r="D84" s="2">
        <v>21704809.690000001</v>
      </c>
      <c r="E84" s="32">
        <v>7.5399999999999995E-2</v>
      </c>
      <c r="F84" s="8">
        <f t="shared" ref="F84" si="1510">+D84/D$4</f>
        <v>0.54262016845365713</v>
      </c>
      <c r="G84" s="2">
        <v>63732.480000000003</v>
      </c>
      <c r="H84" s="8"/>
      <c r="I84" s="8"/>
      <c r="J84" s="8"/>
      <c r="K84" s="8"/>
      <c r="L84" s="8"/>
      <c r="M84" s="8"/>
      <c r="N84" s="6">
        <f t="shared" ref="N84" si="1511">G84/D83</f>
        <v>2.9083928044916101E-3</v>
      </c>
      <c r="O84" s="6">
        <f t="shared" ref="O84" si="1512">1-(+N84-1)^12</f>
        <v>3.4347813286198403E-2</v>
      </c>
      <c r="P84" s="20">
        <f t="shared" ref="P84" si="1513">AVERAGE(O82:O84)</f>
        <v>1.6634989239461533E-2</v>
      </c>
      <c r="Q84" s="20">
        <f t="shared" ref="Q84" si="1514">AVERAGE(O79:O84)</f>
        <v>2.3776788691328876E-2</v>
      </c>
      <c r="R84" s="17">
        <f t="shared" ref="R84" si="1515">AVERAGE(O73:O84)</f>
        <v>2.9156236851229211E-2</v>
      </c>
      <c r="S84" s="26">
        <v>21204088.68</v>
      </c>
      <c r="T84" s="26">
        <v>244679.27</v>
      </c>
      <c r="U84" s="26">
        <v>167322.16</v>
      </c>
      <c r="V84" s="26">
        <v>25067.48</v>
      </c>
      <c r="W84" s="26">
        <v>18932.39</v>
      </c>
      <c r="X84" s="26">
        <v>0</v>
      </c>
      <c r="Y84" s="26">
        <v>0</v>
      </c>
      <c r="Z84" s="26">
        <f t="shared" ref="Z84" si="1516">Z83+Y84</f>
        <v>398650.11</v>
      </c>
      <c r="AA84" s="4">
        <f t="shared" ref="AA84" si="1517">Z84/$D$4</f>
        <v>9.9662513945898111E-3</v>
      </c>
      <c r="AB84" s="2">
        <v>16816893.899999999</v>
      </c>
      <c r="AC84" s="8">
        <f t="shared" ref="AC84" si="1518">+AB84/$AB$4</f>
        <v>0.47775266761363633</v>
      </c>
      <c r="AD84" s="2">
        <f t="shared" ref="AD84" si="1519">AB84*$AD$2</f>
        <v>14332580.028409088</v>
      </c>
      <c r="AE84" s="2">
        <v>2161765.6800000002</v>
      </c>
      <c r="AF84" s="8">
        <f t="shared" ref="AF84" si="1520">+AE84/$AE$4</f>
        <v>0.54044142000000006</v>
      </c>
      <c r="AG84" s="2">
        <v>800000</v>
      </c>
      <c r="AH84" s="8">
        <f t="shared" ref="AH84" si="1521">+AG84/$AG$4</f>
        <v>1</v>
      </c>
      <c r="AI84" s="8">
        <f t="shared" ref="AI84" si="1522">+AB84/D84</f>
        <v>0.77480033873542786</v>
      </c>
      <c r="AJ84" s="2">
        <f>75301.85*3</f>
        <v>225905.55000000002</v>
      </c>
      <c r="AK84" s="4">
        <f t="shared" ref="AK84" si="1523">((+D84+AJ84)-AB84)/D84</f>
        <v>0.23560774837643847</v>
      </c>
      <c r="AL84" s="4">
        <f t="shared" ref="AL84" si="1524">+S84/$D84</f>
        <v>0.97693041233018973</v>
      </c>
      <c r="AM84" s="4">
        <f t="shared" ref="AM84" si="1525">+T84/$D84</f>
        <v>1.1273043785900156E-2</v>
      </c>
      <c r="AN84" s="4">
        <f t="shared" ref="AN84" si="1526">+U84/$D84</f>
        <v>7.7089899607408162E-3</v>
      </c>
      <c r="AO84" s="4">
        <f t="shared" ref="AO84" si="1527">+V84/$D84</f>
        <v>1.1549274265947272E-3</v>
      </c>
      <c r="AP84" s="4">
        <f t="shared" ref="AP84" si="1528">+W84/$D84</f>
        <v>8.7226703529783391E-4</v>
      </c>
      <c r="AQ84" s="4">
        <f t="shared" ref="AQ84" si="1529">+X84/$D84</f>
        <v>0</v>
      </c>
      <c r="AR84" s="4">
        <f t="shared" ref="AR84" si="1530">+Y84/$D84</f>
        <v>0</v>
      </c>
    </row>
    <row r="85" spans="1:44" x14ac:dyDescent="0.25">
      <c r="A85">
        <f t="shared" si="108"/>
        <v>81</v>
      </c>
      <c r="B85" s="3">
        <f t="shared" si="1089"/>
        <v>45976</v>
      </c>
      <c r="C85" s="41">
        <v>545</v>
      </c>
      <c r="D85" s="2">
        <v>21625105.469999999</v>
      </c>
      <c r="E85" s="32">
        <v>7.5399999999999995E-2</v>
      </c>
      <c r="F85" s="8">
        <f t="shared" ref="F85" si="1531">+D85/D$4</f>
        <v>0.54062756322465144</v>
      </c>
      <c r="G85" s="2">
        <v>0</v>
      </c>
      <c r="H85" s="8"/>
      <c r="I85" s="8"/>
      <c r="J85" s="8"/>
      <c r="K85" s="8"/>
      <c r="L85" s="8"/>
      <c r="M85" s="8"/>
      <c r="N85" s="6">
        <f t="shared" ref="N85" si="1532">G85/D84</f>
        <v>0</v>
      </c>
      <c r="O85" s="6">
        <f t="shared" ref="O85" si="1533">1-(+N85-1)^12</f>
        <v>0</v>
      </c>
      <c r="P85" s="20">
        <f t="shared" ref="P85" si="1534">AVERAGE(O83:O85)</f>
        <v>1.1481734586427724E-2</v>
      </c>
      <c r="Q85" s="20">
        <f t="shared" ref="Q85" si="1535">AVERAGE(O80:O85)</f>
        <v>1.1042846567838919E-2</v>
      </c>
      <c r="R85" s="17">
        <f t="shared" ref="R85" si="1536">AVERAGE(O74:O85)</f>
        <v>2.6422114274104774E-2</v>
      </c>
      <c r="S85" s="26">
        <v>21048648.41</v>
      </c>
      <c r="T85" s="26">
        <v>310595.89</v>
      </c>
      <c r="U85" s="26">
        <v>177208.63</v>
      </c>
      <c r="V85" s="26">
        <v>43932.83</v>
      </c>
      <c r="W85" s="26">
        <v>0</v>
      </c>
      <c r="X85" s="26">
        <v>0</v>
      </c>
      <c r="Y85" s="26">
        <v>0</v>
      </c>
      <c r="Z85" s="26">
        <f t="shared" ref="Z85" si="1537">Z84+Y85</f>
        <v>398650.11</v>
      </c>
      <c r="AA85" s="4">
        <f t="shared" ref="AA85" si="1538">Z85/$D$4</f>
        <v>9.9662513945898111E-3</v>
      </c>
      <c r="AB85" s="2">
        <v>16737189.68</v>
      </c>
      <c r="AC85" s="8">
        <f t="shared" ref="AC85" si="1539">+AB85/$AB$4</f>
        <v>0.47548834318181815</v>
      </c>
      <c r="AD85" s="2">
        <f t="shared" ref="AD85" si="1540">AB85*$AD$2</f>
        <v>14264650.295454543</v>
      </c>
      <c r="AE85" s="2">
        <v>2136529.89</v>
      </c>
      <c r="AF85" s="8">
        <f t="shared" ref="AF85" si="1541">+AE85/$AE$4</f>
        <v>0.53413247250000007</v>
      </c>
      <c r="AG85" s="2">
        <v>800000</v>
      </c>
      <c r="AH85" s="8">
        <f t="shared" ref="AH85" si="1542">+AG85/$AG$4</f>
        <v>1</v>
      </c>
      <c r="AI85" s="8">
        <f t="shared" ref="AI85" si="1543">+AB85/D85</f>
        <v>0.77397031442085262</v>
      </c>
      <c r="AJ85" s="2">
        <f>74379.72*3</f>
        <v>223139.16</v>
      </c>
      <c r="AK85" s="4">
        <f t="shared" ref="AK85" si="1544">((+D85+AJ85)-AB85)/D85</f>
        <v>0.23634820912621424</v>
      </c>
      <c r="AL85" s="4">
        <f t="shared" ref="AL85" si="1545">+S85/$D85</f>
        <v>0.97334315613860456</v>
      </c>
      <c r="AM85" s="4">
        <f t="shared" ref="AM85" si="1546">+T85/$D85</f>
        <v>1.4362745672194867E-2</v>
      </c>
      <c r="AN85" s="4">
        <f t="shared" ref="AN85" si="1547">+U85/$D85</f>
        <v>8.1945787615157473E-3</v>
      </c>
      <c r="AO85" s="4">
        <f t="shared" ref="AO85" si="1548">+V85/$D85</f>
        <v>2.0315660453516394E-3</v>
      </c>
      <c r="AP85" s="4">
        <f t="shared" ref="AP85" si="1549">+W85/$D85</f>
        <v>0</v>
      </c>
      <c r="AQ85" s="4">
        <f t="shared" ref="AQ85" si="1550">+X85/$D85</f>
        <v>0</v>
      </c>
      <c r="AR85" s="4">
        <f t="shared" ref="AR85" si="1551">+Y85/$D85</f>
        <v>0</v>
      </c>
    </row>
    <row r="86" spans="1:44" x14ac:dyDescent="0.25">
      <c r="A86">
        <f t="shared" si="108"/>
        <v>82</v>
      </c>
      <c r="B86" s="3">
        <f t="shared" si="1089"/>
        <v>46007</v>
      </c>
      <c r="C86" s="41">
        <v>542</v>
      </c>
      <c r="D86" s="2">
        <v>21381425.350000001</v>
      </c>
      <c r="E86" s="32">
        <v>7.5300000000000006E-2</v>
      </c>
      <c r="F86" s="8">
        <f t="shared" ref="F86" si="1552">+D86/D$4</f>
        <v>0.5345355610531638</v>
      </c>
      <c r="G86" s="2">
        <v>39326.269999999997</v>
      </c>
      <c r="H86" s="8"/>
      <c r="I86" s="8"/>
      <c r="J86" s="8"/>
      <c r="K86" s="8"/>
      <c r="L86" s="8"/>
      <c r="M86" s="8"/>
      <c r="N86" s="6">
        <f t="shared" ref="N86" si="1553">G86/D85</f>
        <v>1.8185469686867613E-3</v>
      </c>
      <c r="O86" s="6">
        <f t="shared" ref="O86" si="1554">1-(+N86-1)^12</f>
        <v>2.1605611873945718E-2</v>
      </c>
      <c r="P86" s="20">
        <f t="shared" ref="P86" si="1555">AVERAGE(O84:O86)</f>
        <v>1.8651141720048042E-2</v>
      </c>
      <c r="Q86" s="20">
        <f t="shared" ref="Q86" si="1556">AVERAGE(O81:O86)</f>
        <v>1.2618122507293938E-2</v>
      </c>
      <c r="R86" s="17">
        <f t="shared" ref="R86" si="1557">AVERAGE(O75:O86)</f>
        <v>2.4487249643229542E-2</v>
      </c>
      <c r="S86" s="26">
        <v>20427039.399999999</v>
      </c>
      <c r="T86" s="26">
        <v>277726.07</v>
      </c>
      <c r="U86" s="26">
        <v>96312.97</v>
      </c>
      <c r="V86" s="26">
        <v>135627.20000000001</v>
      </c>
      <c r="W86" s="26">
        <v>0</v>
      </c>
      <c r="X86" s="26">
        <v>0</v>
      </c>
      <c r="Y86" s="26">
        <v>0</v>
      </c>
      <c r="Z86" s="26">
        <f t="shared" ref="Z86" si="1558">Z85+Y86</f>
        <v>398650.11</v>
      </c>
      <c r="AA86" s="4">
        <f t="shared" ref="AA86" si="1559">Z86/$D$4</f>
        <v>9.9662513945898111E-3</v>
      </c>
      <c r="AB86" s="2">
        <v>16493509.560000001</v>
      </c>
      <c r="AC86" s="8">
        <f t="shared" ref="AC86" si="1560">+AB86/$AB$4</f>
        <v>0.46856561250000001</v>
      </c>
      <c r="AD86" s="2">
        <f t="shared" ref="AD86" si="1561">AB86*$AD$2</f>
        <v>14056968.374999998</v>
      </c>
      <c r="AE86" s="2">
        <v>2136529.89</v>
      </c>
      <c r="AF86" s="8">
        <f t="shared" ref="AF86" si="1562">+AE86/$AE$4</f>
        <v>0.53413247250000007</v>
      </c>
      <c r="AG86" s="2">
        <v>800000</v>
      </c>
      <c r="AH86" s="8">
        <f t="shared" ref="AH86" si="1563">+AG86/$AG$4</f>
        <v>1</v>
      </c>
      <c r="AI86" s="8">
        <f t="shared" ref="AI86" si="1564">+AB86/D86</f>
        <v>0.7713942962179553</v>
      </c>
      <c r="AJ86" s="2">
        <f>74027.2*3</f>
        <v>222081.59999999998</v>
      </c>
      <c r="AK86" s="4">
        <f t="shared" ref="AK86" si="1565">((+D86+AJ86)-AB86)/D86</f>
        <v>0.23899236399597665</v>
      </c>
      <c r="AL86" s="4">
        <f t="shared" ref="AL86" si="1566">+S86/$D86</f>
        <v>0.95536378261143362</v>
      </c>
      <c r="AM86" s="4">
        <f t="shared" ref="AM86" si="1567">+T86/$D86</f>
        <v>1.2989127967560871E-2</v>
      </c>
      <c r="AN86" s="4">
        <f t="shared" ref="AN86" si="1568">+U86/$D86</f>
        <v>4.5045158787788671E-3</v>
      </c>
      <c r="AO86" s="4">
        <f t="shared" ref="AO86" si="1569">+V86/$D86</f>
        <v>6.3432253827736514E-3</v>
      </c>
      <c r="AP86" s="4">
        <f t="shared" ref="AP86" si="1570">+W86/$D86</f>
        <v>0</v>
      </c>
      <c r="AQ86" s="4">
        <f t="shared" ref="AQ86" si="1571">+X86/$D86</f>
        <v>0</v>
      </c>
      <c r="AR86" s="4">
        <f t="shared" ref="AR86" si="1572">+Y86/$D86</f>
        <v>0</v>
      </c>
    </row>
    <row r="87" spans="1:44" x14ac:dyDescent="0.25">
      <c r="A87">
        <f t="shared" si="108"/>
        <v>83</v>
      </c>
      <c r="B87" s="3">
        <f t="shared" si="1089"/>
        <v>46038</v>
      </c>
      <c r="C87" s="41">
        <v>540</v>
      </c>
      <c r="D87" s="2">
        <v>21225553.920000002</v>
      </c>
      <c r="E87" s="32">
        <v>7.5399999999999995E-2</v>
      </c>
      <c r="F87" s="8">
        <f t="shared" ref="F87" si="1573">+D87/D$4</f>
        <v>0.53063877583312657</v>
      </c>
      <c r="G87" s="2">
        <v>39708.53</v>
      </c>
      <c r="H87" s="8"/>
      <c r="I87" s="8"/>
      <c r="J87" s="8"/>
      <c r="K87" s="8"/>
      <c r="L87" s="8"/>
      <c r="M87" s="8"/>
      <c r="N87" s="6">
        <f t="shared" ref="N87" si="1574">G87/D86</f>
        <v>1.8571507441621517E-3</v>
      </c>
      <c r="O87" s="6">
        <f t="shared" ref="O87" si="1575">1-(+N87-1)^12</f>
        <v>2.2059577645012984E-2</v>
      </c>
      <c r="P87" s="20">
        <f t="shared" ref="P87" si="1576">AVERAGE(O85:O87)</f>
        <v>1.4555063172986235E-2</v>
      </c>
      <c r="Q87" s="20">
        <f t="shared" ref="Q87" si="1577">AVERAGE(O82:O87)</f>
        <v>1.5595026206223883E-2</v>
      </c>
      <c r="R87" s="17">
        <f t="shared" ref="R87" si="1578">AVERAGE(O76:O87)</f>
        <v>2.2696028429112076E-2</v>
      </c>
      <c r="S87" s="26">
        <v>20577959.100000001</v>
      </c>
      <c r="T87" s="26">
        <v>370143.66</v>
      </c>
      <c r="U87" s="26">
        <v>180285.73</v>
      </c>
      <c r="V87" s="26">
        <v>34985.919999999998</v>
      </c>
      <c r="W87" s="26">
        <v>17759.8</v>
      </c>
      <c r="X87" s="26">
        <v>0</v>
      </c>
      <c r="Y87" s="26">
        <v>0</v>
      </c>
      <c r="Z87" s="26">
        <f t="shared" ref="Z87" si="1579">Z86+Y87</f>
        <v>398650.11</v>
      </c>
      <c r="AA87" s="4">
        <f t="shared" ref="AA87" si="1580">Z87/$D$4</f>
        <v>9.9662513945898111E-3</v>
      </c>
      <c r="AB87" s="2">
        <v>16337638.130000001</v>
      </c>
      <c r="AC87" s="8">
        <f t="shared" ref="AC87" si="1581">+AB87/$AB$4</f>
        <v>0.46413744687500003</v>
      </c>
      <c r="AD87" s="2">
        <f t="shared" ref="AD87" si="1582">AB87*$AD$2</f>
        <v>13924123.40625</v>
      </c>
      <c r="AE87" s="2">
        <v>2096681.85</v>
      </c>
      <c r="AF87" s="8">
        <f t="shared" ref="AF87" si="1583">+AE87/$AE$4</f>
        <v>0.52417046249999999</v>
      </c>
      <c r="AG87" s="2">
        <v>800000</v>
      </c>
      <c r="AH87" s="8">
        <f t="shared" ref="AH87" si="1584">+AG87/$AG$4</f>
        <v>1</v>
      </c>
      <c r="AI87" s="8">
        <f t="shared" ref="AI87" si="1585">+AB87/D87</f>
        <v>0.76971551327127863</v>
      </c>
      <c r="AJ87" s="2">
        <f>72949.42*3</f>
        <v>218848.26</v>
      </c>
      <c r="AK87" s="4">
        <f t="shared" ref="AK87" si="1586">((+D87+AJ87)-AB87)/D87</f>
        <v>0.24059508973229199</v>
      </c>
      <c r="AL87" s="4">
        <f t="shared" ref="AL87" si="1587">+S87/$D87</f>
        <v>0.96948985065639215</v>
      </c>
      <c r="AM87" s="4">
        <f t="shared" ref="AM87" si="1588">+T87/$D87</f>
        <v>1.7438586592137331E-2</v>
      </c>
      <c r="AN87" s="4">
        <f t="shared" ref="AN87" si="1589">+U87/$D87</f>
        <v>8.4938056589479102E-3</v>
      </c>
      <c r="AO87" s="4">
        <f t="shared" ref="AO87" si="1590">+V87/$D87</f>
        <v>1.6482924371191154E-3</v>
      </c>
      <c r="AP87" s="4">
        <f t="shared" ref="AP87" si="1591">+W87/$D87</f>
        <v>8.3671785749090115E-4</v>
      </c>
      <c r="AQ87" s="4">
        <f t="shared" ref="AQ87" si="1592">+X87/$D87</f>
        <v>0</v>
      </c>
      <c r="AR87" s="4">
        <f t="shared" ref="AR87" si="1593">+Y87/$D87</f>
        <v>0</v>
      </c>
    </row>
    <row r="88" spans="1:44" x14ac:dyDescent="0.25">
      <c r="A88">
        <f t="shared" si="108"/>
        <v>84</v>
      </c>
      <c r="B88" s="3">
        <f t="shared" si="1089"/>
        <v>46069</v>
      </c>
      <c r="C88" s="41">
        <v>536</v>
      </c>
      <c r="D88" s="2">
        <v>20994717.02</v>
      </c>
      <c r="E88" s="32">
        <v>7.5399999999999995E-2</v>
      </c>
      <c r="F88" s="8">
        <f t="shared" ref="F88" si="1594">+D88/D$4</f>
        <v>0.52486785411797188</v>
      </c>
      <c r="G88" s="2">
        <v>147531.63</v>
      </c>
      <c r="H88" s="8"/>
      <c r="I88" s="8"/>
      <c r="J88" s="8"/>
      <c r="K88" s="8"/>
      <c r="L88" s="8"/>
      <c r="M88" s="8"/>
      <c r="N88" s="6">
        <f t="shared" ref="N88" si="1595">G88/D87</f>
        <v>6.9506610077670001E-3</v>
      </c>
      <c r="O88" s="6">
        <f t="shared" ref="O88" si="1596">1-(+N88-1)^12</f>
        <v>8.0292093658542285E-2</v>
      </c>
      <c r="P88" s="20">
        <f t="shared" ref="P88" si="1597">AVERAGE(O86:O88)</f>
        <v>4.1319094392500332E-2</v>
      </c>
      <c r="Q88" s="20">
        <f t="shared" ref="Q88" si="1598">AVERAGE(O83:O88)</f>
        <v>2.6400414489464025E-2</v>
      </c>
      <c r="R88" s="17">
        <f t="shared" ref="R88" si="1599">AVERAGE(O77:O88)</f>
        <v>2.5523302190147989E-2</v>
      </c>
      <c r="S88" s="26">
        <v>20247018.940000001</v>
      </c>
      <c r="T88" s="26">
        <v>375252.29</v>
      </c>
      <c r="U88" s="26">
        <v>250511.39</v>
      </c>
      <c r="V88" s="26">
        <v>77214.69</v>
      </c>
      <c r="W88" s="26">
        <v>0</v>
      </c>
      <c r="X88" s="26">
        <v>0</v>
      </c>
      <c r="Y88" s="26">
        <v>0</v>
      </c>
      <c r="Z88" s="26">
        <f t="shared" ref="Z88" si="1600">Z87+Y88</f>
        <v>398650.11</v>
      </c>
      <c r="AA88" s="4">
        <f t="shared" ref="AA88" si="1601">Z88/$D$4</f>
        <v>9.9662513945898111E-3</v>
      </c>
      <c r="AB88" s="2">
        <v>16106801.23</v>
      </c>
      <c r="AC88" s="8">
        <f t="shared" ref="AC88" si="1602">+AB88/$AB$4</f>
        <v>0.45757958039772728</v>
      </c>
      <c r="AD88" s="2">
        <f t="shared" ref="AD88" si="1603">AB88*$AD$2</f>
        <v>13727387.411931816</v>
      </c>
      <c r="AE88" s="2">
        <v>2070149.18</v>
      </c>
      <c r="AF88" s="8">
        <f t="shared" ref="AF88" si="1604">+AE88/$AE$4</f>
        <v>0.51753729500000001</v>
      </c>
      <c r="AG88" s="2">
        <v>800000</v>
      </c>
      <c r="AH88" s="8">
        <f t="shared" ref="AH88" si="1605">+AG88/$AG$4</f>
        <v>1</v>
      </c>
      <c r="AI88" s="8">
        <f t="shared" ref="AI88" si="1606">+AB88/D88</f>
        <v>0.76718353548925333</v>
      </c>
      <c r="AJ88" s="2">
        <f>72260.01*3</f>
        <v>216780.02999999997</v>
      </c>
      <c r="AK88" s="4">
        <f t="shared" ref="AK88" si="1607">((+D88+AJ88)-AB88)/D88</f>
        <v>0.24314192066209619</v>
      </c>
      <c r="AL88" s="4">
        <f t="shared" ref="AL88" si="1608">+S88/$D88</f>
        <v>0.96438637018599838</v>
      </c>
      <c r="AM88" s="4">
        <f t="shared" ref="AM88" si="1609">+T88/$D88</f>
        <v>1.78736531501009E-2</v>
      </c>
      <c r="AN88" s="4">
        <f t="shared" ref="AN88" si="1610">+U88/$D88</f>
        <v>1.1932115577521607E-2</v>
      </c>
      <c r="AO88" s="4">
        <f t="shared" ref="AO88" si="1611">+V88/$D88</f>
        <v>3.6778152297286836E-3</v>
      </c>
      <c r="AP88" s="4">
        <f t="shared" ref="AP88" si="1612">+W88/$D88</f>
        <v>0</v>
      </c>
      <c r="AQ88" s="4">
        <f t="shared" ref="AQ88" si="1613">+X88/$D88</f>
        <v>0</v>
      </c>
      <c r="AR88" s="4">
        <f t="shared" ref="AR88" si="1614">+Y88/$D88</f>
        <v>0</v>
      </c>
    </row>
    <row r="89" spans="1:44" x14ac:dyDescent="0.25">
      <c r="A89">
        <f t="shared" si="108"/>
        <v>85</v>
      </c>
      <c r="B89" s="3">
        <f t="shared" si="1089"/>
        <v>46100</v>
      </c>
      <c r="C89" s="41">
        <v>531</v>
      </c>
      <c r="D89" s="2">
        <v>20848128.920000002</v>
      </c>
      <c r="E89" s="32">
        <v>7.5300000000000006E-2</v>
      </c>
      <c r="F89" s="8">
        <f t="shared" ref="F89" si="1615">+D89/D$4</f>
        <v>0.52120315211637136</v>
      </c>
      <c r="G89" s="2">
        <v>56642.21</v>
      </c>
      <c r="H89" s="8"/>
      <c r="I89" s="8"/>
      <c r="J89" s="8"/>
      <c r="K89" s="8"/>
      <c r="L89" s="8"/>
      <c r="M89" s="8"/>
      <c r="N89" s="6">
        <f t="shared" ref="N89" si="1616">G89/D88</f>
        <v>2.6979268139714131E-3</v>
      </c>
      <c r="O89" s="6">
        <f t="shared" ref="O89" si="1617">1-(+N89-1)^12</f>
        <v>3.1899014547439264E-2</v>
      </c>
      <c r="P89" s="20">
        <f t="shared" ref="P89" si="1618">AVERAGE(O87:O89)</f>
        <v>4.4750228616998178E-2</v>
      </c>
      <c r="Q89" s="20">
        <f t="shared" ref="Q89" si="1619">AVERAGE(O84:O89)</f>
        <v>3.1700685168523111E-2</v>
      </c>
      <c r="R89" s="17">
        <f t="shared" ref="R89" si="1620">AVERAGE(O78:O89)</f>
        <v>2.8082977837088602E-2</v>
      </c>
      <c r="S89" s="26">
        <v>20183271.43</v>
      </c>
      <c r="T89" s="26">
        <v>296904.25</v>
      </c>
      <c r="U89" s="26">
        <v>210688.3</v>
      </c>
      <c r="V89" s="26">
        <v>90063.7</v>
      </c>
      <c r="W89" s="26">
        <v>0</v>
      </c>
      <c r="X89" s="26">
        <v>22481.53</v>
      </c>
      <c r="Y89" s="26">
        <v>0</v>
      </c>
      <c r="Z89" s="26">
        <f t="shared" ref="Z89" si="1621">Z88+Y89</f>
        <v>398650.11</v>
      </c>
      <c r="AA89" s="4">
        <f t="shared" ref="AA89" si="1622">Z89/$D$4</f>
        <v>9.9662513945898111E-3</v>
      </c>
      <c r="AB89" s="2">
        <v>15960213.130000001</v>
      </c>
      <c r="AC89" s="8">
        <f t="shared" ref="AC89" si="1623">+AB89/$AB$4</f>
        <v>0.45341514573863639</v>
      </c>
      <c r="AD89" s="2">
        <f t="shared" ref="AD89" si="1624">AB89*$AD$2</f>
        <v>13602454.37215909</v>
      </c>
      <c r="AE89" s="2">
        <v>2057806.52</v>
      </c>
      <c r="AF89" s="8">
        <f t="shared" ref="AF89" si="1625">+AE89/$AE$4</f>
        <v>0.51445163000000005</v>
      </c>
      <c r="AG89" s="2">
        <v>800000</v>
      </c>
      <c r="AH89" s="8">
        <f t="shared" ref="AH89" si="1626">+AG89/$AG$4</f>
        <v>1</v>
      </c>
      <c r="AI89" s="8">
        <f t="shared" ref="AI89" si="1627">+AB89/D89</f>
        <v>0.7655465481455781</v>
      </c>
      <c r="AJ89" s="2">
        <f>71239.04*3</f>
        <v>213717.12</v>
      </c>
      <c r="AK89" s="4">
        <f t="shared" ref="AK89" si="1628">((+D89+AJ89)-AB89)/D89</f>
        <v>0.24470459337508749</v>
      </c>
      <c r="AL89" s="4">
        <f t="shared" ref="AL89" si="1629">+S89/$D89</f>
        <v>0.96810948874351066</v>
      </c>
      <c r="AM89" s="4">
        <f t="shared" ref="AM89" si="1630">+T89/$D89</f>
        <v>1.4241290004455709E-2</v>
      </c>
      <c r="AN89" s="4">
        <f t="shared" ref="AN89" si="1631">+U89/$D89</f>
        <v>1.0105861336931908E-2</v>
      </c>
      <c r="AO89" s="4">
        <f t="shared" ref="AO89" si="1632">+V89/$D89</f>
        <v>4.3199895945386351E-3</v>
      </c>
      <c r="AP89" s="4">
        <f t="shared" ref="AP89" si="1633">+W89/$D89</f>
        <v>0</v>
      </c>
      <c r="AQ89" s="4">
        <f t="shared" ref="AQ89" si="1634">+X89/$D89</f>
        <v>1.0783476102948042E-3</v>
      </c>
      <c r="AR89" s="4">
        <f t="shared" ref="AR89" si="1635">+Y89/$D89</f>
        <v>0</v>
      </c>
    </row>
    <row r="90" spans="1:44" x14ac:dyDescent="0.25">
      <c r="A90">
        <f t="shared" si="108"/>
        <v>86</v>
      </c>
      <c r="B90" s="3">
        <f t="shared" si="1089"/>
        <v>46131</v>
      </c>
      <c r="C90" s="41">
        <v>530</v>
      </c>
      <c r="D90" s="2">
        <v>20682474.129999999</v>
      </c>
      <c r="E90" s="32">
        <v>7.5300000000000006E-2</v>
      </c>
      <c r="F90" s="8">
        <f t="shared" ref="F90" si="1636">+D90/D$4</f>
        <v>0.51706178292959748</v>
      </c>
      <c r="G90" s="2">
        <v>14.18</v>
      </c>
      <c r="H90" s="8"/>
      <c r="I90" s="8"/>
      <c r="J90" s="8"/>
      <c r="K90" s="8"/>
      <c r="L90" s="8"/>
      <c r="M90" s="8"/>
      <c r="N90" s="6">
        <f t="shared" ref="N90" si="1637">G90/D89</f>
        <v>6.8015696057965472E-7</v>
      </c>
      <c r="O90" s="6">
        <f t="shared" ref="O90" si="1638">1-(+N90-1)^12</f>
        <v>8.161852994015284E-6</v>
      </c>
      <c r="P90" s="20">
        <f t="shared" ref="P90" si="1639">AVERAGE(O88:O90)</f>
        <v>3.739975668632519E-2</v>
      </c>
      <c r="Q90" s="20">
        <f t="shared" ref="Q90" si="1640">AVERAGE(O85:O90)</f>
        <v>2.597740992965571E-2</v>
      </c>
      <c r="R90" s="17">
        <f t="shared" ref="R90" si="1641">AVERAGE(O79:O90)</f>
        <v>2.4877099310492295E-2</v>
      </c>
      <c r="S90" s="26">
        <v>20136838.539999999</v>
      </c>
      <c r="T90" s="26">
        <v>257729.14</v>
      </c>
      <c r="U90" s="26">
        <v>119638.06</v>
      </c>
      <c r="V90" s="26">
        <v>35804.42</v>
      </c>
      <c r="W90" s="26">
        <v>65262.73</v>
      </c>
      <c r="X90" s="26">
        <v>17759.8</v>
      </c>
      <c r="Y90" s="26">
        <v>0</v>
      </c>
      <c r="Z90" s="26">
        <f t="shared" ref="Z90" si="1642">Z89+Y90</f>
        <v>398650.11</v>
      </c>
      <c r="AA90" s="4">
        <f t="shared" ref="AA90" si="1643">Z90/$D$4</f>
        <v>9.9662513945898111E-3</v>
      </c>
      <c r="AB90" s="2">
        <v>15789836.91</v>
      </c>
      <c r="AC90" s="8">
        <f t="shared" ref="AC90" si="1644">+AB90/$AB$4</f>
        <v>0.44857491221590912</v>
      </c>
      <c r="AD90" s="2">
        <f t="shared" ref="AD90" si="1645">AB90*$AD$2</f>
        <v>13457247.366477272</v>
      </c>
      <c r="AE90" s="2">
        <v>2034179.17</v>
      </c>
      <c r="AF90" s="8">
        <f t="shared" ref="AF90" si="1646">+AE90/$AE$4</f>
        <v>0.50854479249999995</v>
      </c>
      <c r="AG90" s="2">
        <v>800000</v>
      </c>
      <c r="AH90" s="8">
        <f t="shared" ref="AH90" si="1647">+AG90/$AG$4</f>
        <v>1</v>
      </c>
      <c r="AI90" s="8">
        <f t="shared" ref="AI90" si="1648">+AB90/D90</f>
        <v>0.76344042839133974</v>
      </c>
      <c r="AJ90" s="2">
        <f>70590.69*3</f>
        <v>211772.07</v>
      </c>
      <c r="AK90" s="4">
        <f t="shared" ref="AK90" si="1649">((+D90+AJ90)-AB90)/D90</f>
        <v>0.24679877551960944</v>
      </c>
      <c r="AL90" s="4">
        <f t="shared" ref="AL90" si="1650">+S90/$D90</f>
        <v>0.97361845654584656</v>
      </c>
      <c r="AM90" s="4">
        <f t="shared" ref="AM90" si="1651">+T90/$D90</f>
        <v>1.2461233524579297E-2</v>
      </c>
      <c r="AN90" s="4">
        <f t="shared" ref="AN90" si="1652">+U90/$D90</f>
        <v>5.7845139439321033E-3</v>
      </c>
      <c r="AO90" s="4">
        <f t="shared" ref="AO90" si="1653">+V90/$D90</f>
        <v>1.7311478198860921E-3</v>
      </c>
      <c r="AP90" s="4">
        <f t="shared" ref="AP90" si="1654">+W90/$D90</f>
        <v>3.1554604922887919E-3</v>
      </c>
      <c r="AQ90" s="4">
        <f t="shared" ref="AQ90" si="1655">+X90/$D90</f>
        <v>8.5868837008428063E-4</v>
      </c>
      <c r="AR90" s="4">
        <f t="shared" ref="AR90" si="1656">+Y90/$D90</f>
        <v>0</v>
      </c>
    </row>
    <row r="91" spans="1:44" x14ac:dyDescent="0.25">
      <c r="A91">
        <f t="shared" si="108"/>
        <v>87</v>
      </c>
      <c r="B91" s="3">
        <f t="shared" si="1089"/>
        <v>46162</v>
      </c>
      <c r="C91" s="41">
        <v>526</v>
      </c>
      <c r="D91" s="2">
        <v>20586345.02</v>
      </c>
      <c r="E91" s="32">
        <v>7.5300000000000006E-2</v>
      </c>
      <c r="F91" s="8">
        <f t="shared" ref="F91" si="1657">+D91/D$4</f>
        <v>0.51465855550643647</v>
      </c>
      <c r="G91" s="2">
        <v>18049.97</v>
      </c>
      <c r="H91" s="8"/>
      <c r="I91" s="8"/>
      <c r="J91" s="8"/>
      <c r="K91" s="8"/>
      <c r="L91" s="8"/>
      <c r="M91" s="8"/>
      <c r="N91" s="6">
        <f t="shared" ref="N91" si="1658">G91/D90</f>
        <v>8.7271812291637096E-4</v>
      </c>
      <c r="O91" s="6">
        <f t="shared" ref="O91" si="1659">1-(+N91-1)^12</f>
        <v>1.0422495384150854E-2</v>
      </c>
      <c r="P91" s="20">
        <f t="shared" ref="P91" si="1660">AVERAGE(O89:O91)</f>
        <v>1.4109890594861377E-2</v>
      </c>
      <c r="Q91" s="20">
        <f t="shared" ref="Q91" si="1661">AVERAGE(O86:O91)</f>
        <v>2.7714492493680853E-2</v>
      </c>
      <c r="R91" s="17">
        <f t="shared" ref="R91" si="1662">AVERAGE(O80:O91)</f>
        <v>1.9378669530759885E-2</v>
      </c>
      <c r="S91" s="26">
        <v>19917483.350000001</v>
      </c>
      <c r="T91" s="26">
        <v>381286.29</v>
      </c>
      <c r="U91" s="26">
        <v>100834.91</v>
      </c>
      <c r="V91" s="26">
        <v>43219.09</v>
      </c>
      <c r="W91" s="26">
        <v>11057.41</v>
      </c>
      <c r="X91" s="26">
        <v>65262.73</v>
      </c>
      <c r="Y91" s="26">
        <v>0</v>
      </c>
      <c r="Z91" s="26">
        <f t="shared" ref="Z91" si="1663">Z90+Y91</f>
        <v>398650.11</v>
      </c>
      <c r="AA91" s="4">
        <f t="shared" ref="AA91" si="1664">Z91/$D$4</f>
        <v>9.9662513945898111E-3</v>
      </c>
      <c r="AB91" s="2">
        <v>15675947.699999999</v>
      </c>
      <c r="AC91" s="8">
        <f t="shared" ref="AC91" si="1665">+AB91/$AB$4</f>
        <v>0.44533942329545451</v>
      </c>
      <c r="AD91" s="2">
        <f t="shared" ref="AD91" si="1666">AB91*$AD$2</f>
        <v>13360182.698863635</v>
      </c>
      <c r="AE91" s="2">
        <v>2034174.49</v>
      </c>
      <c r="AF91" s="8">
        <f t="shared" ref="AF91" si="1667">+AE91/$AE$4</f>
        <v>0.50854362249999996</v>
      </c>
      <c r="AG91" s="2">
        <v>800000</v>
      </c>
      <c r="AH91" s="8">
        <f t="shared" ref="AH91" si="1668">+AG91/$AG$4</f>
        <v>1</v>
      </c>
      <c r="AI91" s="8">
        <f t="shared" ref="AI91" si="1669">+AB91/D91</f>
        <v>0.76147308736789066</v>
      </c>
      <c r="AJ91" s="2">
        <f>69837.13*3</f>
        <v>209511.39</v>
      </c>
      <c r="AK91" s="4">
        <f t="shared" ref="AK91" si="1670">((+D91+AJ91)-AB91)/D91</f>
        <v>0.24870411454903329</v>
      </c>
      <c r="AL91" s="4">
        <f t="shared" ref="AL91" si="1671">+S91/$D91</f>
        <v>0.96750945010635991</v>
      </c>
      <c r="AM91" s="4">
        <f t="shared" ref="AM91" si="1672">+T91/$D91</f>
        <v>1.852132030380204E-2</v>
      </c>
      <c r="AN91" s="4">
        <f t="shared" ref="AN91" si="1673">+U91/$D91</f>
        <v>4.8981453435292715E-3</v>
      </c>
      <c r="AO91" s="4">
        <f t="shared" ref="AO91" si="1674">+V91/$D91</f>
        <v>2.0994056962521461E-3</v>
      </c>
      <c r="AP91" s="4">
        <f t="shared" ref="AP91" si="1675">+W91/$D91</f>
        <v>5.3712351509010124E-4</v>
      </c>
      <c r="AQ91" s="4">
        <f t="shared" ref="AQ91" si="1676">+X91/$D91</f>
        <v>3.1701950946900048E-3</v>
      </c>
      <c r="AR91" s="4">
        <f t="shared" ref="AR91" si="1677">+Y91/$D91</f>
        <v>0</v>
      </c>
    </row>
  </sheetData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3CC67-B8E5-4C0F-8E41-9CA5E82857EE}">
  <dimension ref="A1:AS58"/>
  <sheetViews>
    <sheetView showGridLines="0" zoomScaleNormal="100" workbookViewId="0">
      <pane xSplit="2" ySplit="3" topLeftCell="AG46" activePane="bottomRight" state="frozen"/>
      <selection pane="topRight" activeCell="C1" sqref="C1"/>
      <selection pane="bottomLeft" activeCell="A2" sqref="A2"/>
      <selection pane="bottomRight" activeCell="AK65" sqref="AK65"/>
    </sheetView>
  </sheetViews>
  <sheetFormatPr baseColWidth="10" defaultColWidth="9.140625" defaultRowHeight="15" x14ac:dyDescent="0.25"/>
  <cols>
    <col min="4" max="4" width="15.140625" bestFit="1" customWidth="1"/>
    <col min="7" max="7" width="13.140625" bestFit="1" customWidth="1"/>
    <col min="8" max="8" width="14.28515625" hidden="1" customWidth="1"/>
    <col min="9" max="9" width="13.28515625" hidden="1" customWidth="1"/>
    <col min="10" max="10" width="12.5703125" hidden="1" customWidth="1"/>
    <col min="11" max="11" width="12.42578125" hidden="1" customWidth="1"/>
    <col min="12" max="12" width="11.42578125" hidden="1" customWidth="1"/>
    <col min="13" max="13" width="15.7109375" hidden="1" customWidth="1"/>
    <col min="14" max="14" width="12.140625" bestFit="1" customWidth="1"/>
    <col min="15" max="15" width="11.42578125" customWidth="1"/>
    <col min="16" max="16" width="12" customWidth="1"/>
    <col min="17" max="17" width="12.42578125" customWidth="1"/>
    <col min="18" max="18" width="12.28515625" customWidth="1"/>
    <col min="19" max="19" width="14.140625" bestFit="1" customWidth="1"/>
    <col min="20" max="20" width="14.28515625" bestFit="1" customWidth="1"/>
    <col min="21" max="24" width="11.5703125" bestFit="1" customWidth="1"/>
    <col min="25" max="26" width="10.5703125" bestFit="1" customWidth="1"/>
    <col min="27" max="27" width="10.42578125" bestFit="1" customWidth="1"/>
    <col min="29" max="29" width="15.140625" bestFit="1" customWidth="1"/>
    <col min="31" max="31" width="15.140625" bestFit="1" customWidth="1"/>
    <col min="32" max="32" width="15" bestFit="1" customWidth="1"/>
    <col min="34" max="34" width="13.85546875" bestFit="1" customWidth="1"/>
    <col min="37" max="37" width="14.85546875" bestFit="1" customWidth="1"/>
    <col min="39" max="39" width="13.140625" bestFit="1" customWidth="1"/>
  </cols>
  <sheetData>
    <row r="1" spans="1:45" x14ac:dyDescent="0.25">
      <c r="G1" s="35" t="s">
        <v>50</v>
      </c>
      <c r="H1" s="35" t="s">
        <v>52</v>
      </c>
      <c r="I1" s="35" t="s">
        <v>52</v>
      </c>
      <c r="J1" s="35" t="s">
        <v>46</v>
      </c>
      <c r="K1" s="35" t="s">
        <v>46</v>
      </c>
      <c r="M1" s="35" t="s">
        <v>20</v>
      </c>
      <c r="N1" s="35"/>
      <c r="O1" s="35"/>
    </row>
    <row r="2" spans="1:45" x14ac:dyDescent="0.25">
      <c r="B2" s="24" t="s">
        <v>32</v>
      </c>
      <c r="G2" s="24" t="s">
        <v>51</v>
      </c>
      <c r="H2" s="24" t="s">
        <v>53</v>
      </c>
      <c r="I2" s="24" t="s">
        <v>55</v>
      </c>
      <c r="J2" s="24" t="s">
        <v>57</v>
      </c>
      <c r="K2" s="24" t="s">
        <v>35</v>
      </c>
      <c r="L2" s="24" t="s">
        <v>38</v>
      </c>
      <c r="M2" s="35" t="s">
        <v>59</v>
      </c>
      <c r="N2" s="35"/>
      <c r="O2" s="35"/>
      <c r="P2" s="24" t="s">
        <v>43</v>
      </c>
      <c r="Q2" s="24" t="s">
        <v>47</v>
      </c>
      <c r="R2" s="24" t="s">
        <v>48</v>
      </c>
      <c r="S2" s="24" t="s">
        <v>25</v>
      </c>
      <c r="AA2" s="24" t="s">
        <v>40</v>
      </c>
      <c r="AE2">
        <f>100000000/112500000</f>
        <v>0.88888888888888884</v>
      </c>
    </row>
    <row r="3" spans="1:45" s="29" customFormat="1" ht="12.75" x14ac:dyDescent="0.2">
      <c r="A3" s="24" t="s">
        <v>17</v>
      </c>
      <c r="B3" s="28" t="s">
        <v>33</v>
      </c>
      <c r="C3" s="24" t="s">
        <v>0</v>
      </c>
      <c r="D3" s="24" t="s">
        <v>18</v>
      </c>
      <c r="E3" s="24" t="s">
        <v>26</v>
      </c>
      <c r="F3" s="24" t="s">
        <v>6</v>
      </c>
      <c r="G3" s="28" t="s">
        <v>36</v>
      </c>
      <c r="H3" s="28" t="s">
        <v>54</v>
      </c>
      <c r="I3" s="28" t="s">
        <v>56</v>
      </c>
      <c r="J3" s="28" t="s">
        <v>58</v>
      </c>
      <c r="K3" s="28" t="s">
        <v>37</v>
      </c>
      <c r="L3" s="28" t="s">
        <v>39</v>
      </c>
      <c r="M3" s="30" t="s">
        <v>35</v>
      </c>
      <c r="N3" s="28" t="s">
        <v>60</v>
      </c>
      <c r="O3" s="28" t="s">
        <v>61</v>
      </c>
      <c r="P3" s="28" t="s">
        <v>44</v>
      </c>
      <c r="Q3" s="28" t="s">
        <v>44</v>
      </c>
      <c r="R3" s="28" t="s">
        <v>44</v>
      </c>
      <c r="S3" s="24" t="s">
        <v>21</v>
      </c>
      <c r="T3" s="24" t="s">
        <v>9</v>
      </c>
      <c r="U3" s="24" t="s">
        <v>10</v>
      </c>
      <c r="V3" s="24" t="s">
        <v>11</v>
      </c>
      <c r="W3" s="24" t="s">
        <v>12</v>
      </c>
      <c r="X3" s="24" t="s">
        <v>13</v>
      </c>
      <c r="Y3" s="24" t="s">
        <v>14</v>
      </c>
      <c r="Z3" s="24" t="s">
        <v>15</v>
      </c>
      <c r="AA3" s="28" t="s">
        <v>41</v>
      </c>
      <c r="AB3" s="24" t="s">
        <v>16</v>
      </c>
      <c r="AC3" s="24" t="s">
        <v>1</v>
      </c>
      <c r="AD3" s="24" t="s">
        <v>3</v>
      </c>
      <c r="AE3" s="24" t="s">
        <v>30</v>
      </c>
      <c r="AF3" s="24" t="s">
        <v>2</v>
      </c>
      <c r="AG3" s="24" t="s">
        <v>4</v>
      </c>
      <c r="AH3" s="24" t="s">
        <v>27</v>
      </c>
      <c r="AI3" s="24" t="s">
        <v>28</v>
      </c>
      <c r="AJ3" s="24" t="s">
        <v>5</v>
      </c>
      <c r="AK3" s="24" t="s">
        <v>65</v>
      </c>
      <c r="AL3" s="24" t="s">
        <v>22</v>
      </c>
      <c r="AM3" s="24" t="s">
        <v>9</v>
      </c>
      <c r="AN3" s="24" t="s">
        <v>10</v>
      </c>
      <c r="AO3" s="24" t="s">
        <v>11</v>
      </c>
      <c r="AP3" s="24" t="s">
        <v>12</v>
      </c>
      <c r="AQ3" s="24" t="s">
        <v>13</v>
      </c>
      <c r="AR3" s="24" t="s">
        <v>14</v>
      </c>
      <c r="AS3" s="24" t="s">
        <v>19</v>
      </c>
    </row>
    <row r="4" spans="1:45" x14ac:dyDescent="0.25">
      <c r="A4">
        <v>0</v>
      </c>
      <c r="B4" s="3">
        <v>44491</v>
      </c>
      <c r="C4" s="43">
        <f>'[441]Part 1'!$C$16</f>
        <v>2915</v>
      </c>
      <c r="D4" s="2">
        <f>'[441]Part 1'!$C$20</f>
        <v>112500022.31</v>
      </c>
      <c r="E4" s="32"/>
      <c r="F4" s="8">
        <f t="shared" ref="F4" si="0">+D4/$D$4</f>
        <v>1</v>
      </c>
      <c r="G4" s="8"/>
      <c r="H4" s="8"/>
      <c r="I4" s="8"/>
      <c r="J4" s="8"/>
      <c r="K4" s="8"/>
      <c r="L4" s="8"/>
      <c r="M4" s="8"/>
      <c r="N4" s="39"/>
      <c r="O4" s="8"/>
      <c r="AC4" s="2">
        <f>'[441]Part 11'!$G$8</f>
        <v>100000000</v>
      </c>
      <c r="AD4" s="8">
        <f t="shared" ref="AD4:AD5" si="1">+AC4/$AC$4</f>
        <v>1</v>
      </c>
      <c r="AE4" s="2">
        <f>'[441]Part 11'!$V$8</f>
        <v>99825826.710320368</v>
      </c>
      <c r="AF4" s="2">
        <f>'[441]Part 11'!$G$9</f>
        <v>10000000</v>
      </c>
      <c r="AG4" s="8">
        <f t="shared" ref="AG4:AG5" si="2">+AF4/$AF$4</f>
        <v>1</v>
      </c>
      <c r="AH4" s="2">
        <f>'[441]Part 11'!$G$10</f>
        <v>2500000</v>
      </c>
      <c r="AI4" s="8">
        <f t="shared" ref="AI4:AI5" si="3">+AH4/$AH$4</f>
        <v>1</v>
      </c>
      <c r="AJ4" s="8">
        <f t="shared" ref="AJ4" si="4">+AC4/D4</f>
        <v>0.88888871261238067</v>
      </c>
      <c r="AK4" s="2">
        <f>'[441]Part 1'!$C$26</f>
        <v>0</v>
      </c>
      <c r="AL4" s="4">
        <f t="shared" ref="AL4:AL5" si="5">((+D4+AK4)-AC4)/D4</f>
        <v>0.11111128738761938</v>
      </c>
      <c r="AM4" s="2"/>
      <c r="AN4" s="2"/>
      <c r="AO4" s="2"/>
      <c r="AP4" s="2"/>
      <c r="AQ4" s="2"/>
      <c r="AR4" s="2"/>
      <c r="AS4" s="2"/>
    </row>
    <row r="5" spans="1:45" x14ac:dyDescent="0.25">
      <c r="A5">
        <f t="shared" ref="A5:A58" si="6">A4+1</f>
        <v>1</v>
      </c>
      <c r="B5" s="3">
        <v>44531</v>
      </c>
      <c r="C5" s="41">
        <f>'[441]Part 1'!$C$18</f>
        <v>2910</v>
      </c>
      <c r="D5" s="2">
        <f>'[441]Part 1'!$C$22</f>
        <v>111434063.59999999</v>
      </c>
      <c r="E5" s="32">
        <f>'[441]Part 1'!$E$22</f>
        <v>1.34E-2</v>
      </c>
      <c r="F5" s="8">
        <f t="shared" ref="F5:F10" si="7">+D5/$D$4</f>
        <v>0.99052481334570142</v>
      </c>
      <c r="G5" s="2">
        <f>'[441]Parts 2 - 3'!$C$49</f>
        <v>77040.67</v>
      </c>
      <c r="H5" s="8"/>
      <c r="I5" s="8"/>
      <c r="J5" s="8"/>
      <c r="K5" s="8"/>
      <c r="L5" s="8"/>
      <c r="M5" s="8"/>
      <c r="N5" s="6">
        <f t="shared" ref="N5:N10" si="8">G5/D4</f>
        <v>6.8480581975095248E-4</v>
      </c>
      <c r="O5" s="6">
        <f t="shared" ref="O5" si="9">1-(+N5-1)^12</f>
        <v>8.1867890856476278E-3</v>
      </c>
      <c r="P5" s="40" t="s">
        <v>63</v>
      </c>
      <c r="Q5" s="40" t="s">
        <v>63</v>
      </c>
      <c r="R5" s="40" t="s">
        <v>63</v>
      </c>
      <c r="S5" s="40"/>
      <c r="T5" s="26">
        <f>'[441]Part 1'!$C$4</f>
        <v>0</v>
      </c>
      <c r="U5" s="26">
        <f>'[441]Part 1'!$E$4</f>
        <v>0</v>
      </c>
      <c r="V5" s="26">
        <f>'[441]Part 1'!$F$4</f>
        <v>0</v>
      </c>
      <c r="W5" s="26">
        <f>'[441]Part 1'!$G$4</f>
        <v>0</v>
      </c>
      <c r="X5" s="26">
        <f>'[441]Part 1'!$H$4</f>
        <v>0</v>
      </c>
      <c r="Y5" s="26">
        <f>'[441]Part 1'!$J$4</f>
        <v>0</v>
      </c>
      <c r="Z5" s="26">
        <f>'[441]Part 1'!$G$16</f>
        <v>0</v>
      </c>
      <c r="AA5" s="26">
        <f t="shared" ref="AA5:AA9" si="10">AA4+Z5</f>
        <v>0</v>
      </c>
      <c r="AB5" s="4">
        <f t="shared" ref="AB5" si="11">AA5/$D$4</f>
        <v>0</v>
      </c>
      <c r="AC5" s="2">
        <f>'[441]Part 11'!$V$8</f>
        <v>99825826.710320368</v>
      </c>
      <c r="AD5" s="8">
        <f t="shared" si="1"/>
        <v>0.99825826710320364</v>
      </c>
      <c r="AE5" s="2">
        <f t="shared" ref="AE5:AE10" si="12">AC5*$AE$2</f>
        <v>88734068.186951429</v>
      </c>
      <c r="AF5" s="2">
        <f>'[441]Part 11'!$V$9</f>
        <v>10000000</v>
      </c>
      <c r="AG5" s="8">
        <f t="shared" si="2"/>
        <v>1</v>
      </c>
      <c r="AH5" s="2">
        <f>'[441]Part 11'!$V$10</f>
        <v>2500000</v>
      </c>
      <c r="AI5" s="8">
        <f t="shared" si="3"/>
        <v>1</v>
      </c>
      <c r="AJ5" s="8">
        <f t="shared" ref="AJ5:AJ10" si="13">+AC5/D5</f>
        <v>0.89582864956492869</v>
      </c>
      <c r="AK5" s="2">
        <f>'[441]Part 1'!$C$32</f>
        <v>0.11070000000000001</v>
      </c>
      <c r="AL5" s="4">
        <f t="shared" si="5"/>
        <v>0.10417135142848387</v>
      </c>
      <c r="AM5" s="4">
        <f t="shared" ref="AM5:AS5" si="14">+T5/$D5</f>
        <v>0</v>
      </c>
      <c r="AN5" s="4">
        <f t="shared" si="14"/>
        <v>0</v>
      </c>
      <c r="AO5" s="4">
        <f t="shared" si="14"/>
        <v>0</v>
      </c>
      <c r="AP5" s="4">
        <f t="shared" si="14"/>
        <v>0</v>
      </c>
      <c r="AQ5" s="4">
        <f t="shared" si="14"/>
        <v>0</v>
      </c>
      <c r="AR5" s="4">
        <f t="shared" si="14"/>
        <v>0</v>
      </c>
      <c r="AS5" s="4">
        <f t="shared" si="14"/>
        <v>0</v>
      </c>
    </row>
    <row r="6" spans="1:45" x14ac:dyDescent="0.25">
      <c r="A6">
        <f t="shared" si="6"/>
        <v>2</v>
      </c>
      <c r="B6" s="3">
        <f t="shared" ref="B6:B56" si="15">+B5+31</f>
        <v>44562</v>
      </c>
      <c r="C6" s="41">
        <f>'[442]Part 1'!$C$18</f>
        <v>2910</v>
      </c>
      <c r="D6" s="2">
        <f>'[442]Part 1'!$C$22</f>
        <v>111434063.59999999</v>
      </c>
      <c r="E6" s="32">
        <f>'[442]Part 1'!$E$22</f>
        <v>1.34E-2</v>
      </c>
      <c r="F6" s="8">
        <f t="shared" si="7"/>
        <v>0.99052481334570142</v>
      </c>
      <c r="G6" s="2">
        <f>'[442]Parts 2 - 3'!$C$49</f>
        <v>77040.67</v>
      </c>
      <c r="H6" s="8"/>
      <c r="I6" s="8"/>
      <c r="J6" s="8"/>
      <c r="K6" s="8"/>
      <c r="L6" s="8"/>
      <c r="M6" s="8"/>
      <c r="N6" s="6">
        <f t="shared" si="8"/>
        <v>6.9135655212702841E-4</v>
      </c>
      <c r="O6" s="6">
        <f t="shared" ref="O6" si="16">1-(+N6-1)^12</f>
        <v>8.2648049354220321E-3</v>
      </c>
      <c r="P6" s="40" t="s">
        <v>63</v>
      </c>
      <c r="Q6" s="40" t="s">
        <v>63</v>
      </c>
      <c r="R6" s="40" t="s">
        <v>63</v>
      </c>
      <c r="S6" s="40"/>
      <c r="T6" s="26">
        <f>'[442]Parts 7 -10'!$C$4</f>
        <v>110672147.18999998</v>
      </c>
      <c r="U6" s="26">
        <f>'[442]Parts 7 -10'!$E$4</f>
        <v>525570.16</v>
      </c>
      <c r="V6" s="26">
        <f>'[442]Parts 7 -10'!$F$4</f>
        <v>185154.06</v>
      </c>
      <c r="W6" s="26">
        <f>'[442]Parts 7 -10'!$G$4</f>
        <v>51192.19</v>
      </c>
      <c r="X6" s="26">
        <f>'[442]Parts 7 -10'!$H$4</f>
        <v>0</v>
      </c>
      <c r="Y6" s="26">
        <f>'[442]Parts 7 -10'!$J$4</f>
        <v>0</v>
      </c>
      <c r="Z6" s="26">
        <f>'[442]Parts 7 -10'!$O$16</f>
        <v>0</v>
      </c>
      <c r="AA6" s="26">
        <f t="shared" si="10"/>
        <v>0</v>
      </c>
      <c r="AB6" s="4">
        <f t="shared" ref="AB6" si="17">AA6/$D$4</f>
        <v>0</v>
      </c>
      <c r="AC6" s="2">
        <f>'[442]Part 11'!$V$8</f>
        <v>99825826.710320368</v>
      </c>
      <c r="AD6" s="8">
        <f t="shared" ref="AD6" si="18">+AC6/$AC$4</f>
        <v>0.99825826710320364</v>
      </c>
      <c r="AE6" s="2">
        <f t="shared" si="12"/>
        <v>88734068.186951429</v>
      </c>
      <c r="AF6" s="2">
        <f>'[442]Part 11'!$V$9</f>
        <v>10000000</v>
      </c>
      <c r="AG6" s="8">
        <f t="shared" ref="AG6" si="19">+AF6/$AF$4</f>
        <v>1</v>
      </c>
      <c r="AH6" s="2">
        <f>'[442]Part 11'!$V$10</f>
        <v>2500000</v>
      </c>
      <c r="AI6" s="8">
        <f t="shared" ref="AI6" si="20">+AH6/$AH$4</f>
        <v>1</v>
      </c>
      <c r="AJ6" s="8">
        <f t="shared" si="13"/>
        <v>0.89582864956492869</v>
      </c>
      <c r="AK6" s="2">
        <f>'[442]Parts 4 - 6 '!$C$32</f>
        <v>1098084.0938135241</v>
      </c>
      <c r="AL6" s="4">
        <f t="shared" ref="AL6" si="21">((+D6+AK6)-AC6)/D6</f>
        <v>0.11402546558028555</v>
      </c>
      <c r="AM6" s="4">
        <f t="shared" ref="AM6" si="22">+T6/$D6</f>
        <v>0.99316262563362168</v>
      </c>
      <c r="AN6" s="4">
        <f t="shared" ref="AN6" si="23">+U6/$D6</f>
        <v>4.716422815617397E-3</v>
      </c>
      <c r="AO6" s="4">
        <f t="shared" ref="AO6" si="24">+V6/$D6</f>
        <v>1.6615571039805463E-3</v>
      </c>
      <c r="AP6" s="4">
        <f t="shared" ref="AP6" si="25">+W6/$D6</f>
        <v>4.5939444678027522E-4</v>
      </c>
      <c r="AQ6" s="4">
        <f t="shared" ref="AQ6" si="26">+X6/$D6</f>
        <v>0</v>
      </c>
      <c r="AR6" s="4">
        <f t="shared" ref="AR6" si="27">+Y6/$D6</f>
        <v>0</v>
      </c>
      <c r="AS6" s="4">
        <f t="shared" ref="AS6" si="28">+Z6/$D6</f>
        <v>0</v>
      </c>
    </row>
    <row r="7" spans="1:45" x14ac:dyDescent="0.25">
      <c r="A7">
        <f t="shared" si="6"/>
        <v>3</v>
      </c>
      <c r="B7" s="3">
        <f t="shared" si="15"/>
        <v>44593</v>
      </c>
      <c r="C7" s="41">
        <f>'[443]Part 1'!$C$18</f>
        <v>2910</v>
      </c>
      <c r="D7" s="2">
        <f>'[443]Part 1'!$C$22</f>
        <v>111159287.5</v>
      </c>
      <c r="E7" s="32">
        <f>'[443]Part 1'!$E$22</f>
        <v>1.34E-2</v>
      </c>
      <c r="F7" s="8">
        <f t="shared" si="7"/>
        <v>0.98808235960784496</v>
      </c>
      <c r="G7" s="2">
        <f>'[443]Parts 2 - 3'!$C$49</f>
        <v>0</v>
      </c>
      <c r="H7" s="8"/>
      <c r="I7" s="8"/>
      <c r="J7" s="8"/>
      <c r="K7" s="8"/>
      <c r="L7" s="8"/>
      <c r="M7" s="8"/>
      <c r="N7" s="6">
        <f t="shared" si="8"/>
        <v>0</v>
      </c>
      <c r="O7" s="6">
        <f t="shared" ref="O7" si="29">1-(+N7-1)^12</f>
        <v>0</v>
      </c>
      <c r="P7" s="40">
        <f>AVERAGE(O5:O7)</f>
        <v>5.4838646736898866E-3</v>
      </c>
      <c r="Q7" s="40" t="s">
        <v>63</v>
      </c>
      <c r="R7" s="40" t="s">
        <v>63</v>
      </c>
      <c r="S7" s="40"/>
      <c r="T7" s="26">
        <f>'[443]Parts 7 -10'!$C$4</f>
        <v>110091929.45999999</v>
      </c>
      <c r="U7" s="26">
        <f>'[443]Parts 7 -10'!$E$4</f>
        <v>754024.32</v>
      </c>
      <c r="V7" s="26">
        <f>'[443]Parts 7 -10'!$F$4</f>
        <v>224839.21</v>
      </c>
      <c r="W7" s="26">
        <f>'[443]Parts 7 -10'!$G$4</f>
        <v>37302.32</v>
      </c>
      <c r="X7" s="26">
        <f>'[443]Parts 7 -10'!$H$4</f>
        <v>51192.19</v>
      </c>
      <c r="Y7" s="26">
        <f>'[443]Parts 7 -10'!$J$4</f>
        <v>0</v>
      </c>
      <c r="Z7" s="26">
        <f>'[443]Parts 7 -10'!$O$16</f>
        <v>0</v>
      </c>
      <c r="AA7" s="26">
        <f t="shared" si="10"/>
        <v>0</v>
      </c>
      <c r="AB7" s="4">
        <f t="shared" ref="AB7" si="30">AA7/$D$4</f>
        <v>0</v>
      </c>
      <c r="AC7" s="2">
        <f>'[443]Part 11'!$V$8</f>
        <v>99825826.710320368</v>
      </c>
      <c r="AD7" s="8">
        <f t="shared" ref="AD7" si="31">+AC7/$AC$4</f>
        <v>0.99825826710320364</v>
      </c>
      <c r="AE7" s="2">
        <f t="shared" si="12"/>
        <v>88734068.186951429</v>
      </c>
      <c r="AF7" s="2">
        <f>'[443]Part 11'!$V$9</f>
        <v>10000000</v>
      </c>
      <c r="AG7" s="8">
        <f t="shared" ref="AG7" si="32">+AF7/$AF$4</f>
        <v>1</v>
      </c>
      <c r="AH7" s="2">
        <f>'[443]Part 11'!$V$10</f>
        <v>2500000</v>
      </c>
      <c r="AI7" s="8">
        <f t="shared" ref="AI7" si="33">+AH7/$AH$4</f>
        <v>1</v>
      </c>
      <c r="AJ7" s="8">
        <f t="shared" si="13"/>
        <v>0.89804306014754154</v>
      </c>
      <c r="AK7" s="2">
        <f>'[443]Parts 4 - 6 '!$C$32</f>
        <v>1098084.0938135241</v>
      </c>
      <c r="AL7" s="4">
        <f t="shared" ref="AL7" si="34">((+D7+AK7)-AC7)/D7</f>
        <v>0.11183541351408136</v>
      </c>
      <c r="AM7" s="4">
        <f t="shared" ref="AM7" si="35">+T7/$D7</f>
        <v>0.99039794097276845</v>
      </c>
      <c r="AN7" s="4">
        <f t="shared" ref="AN7" si="36">+U7/$D7</f>
        <v>6.7832777355648303E-3</v>
      </c>
      <c r="AO7" s="4">
        <f t="shared" ref="AO7" si="37">+V7/$D7</f>
        <v>2.0226758830205705E-3</v>
      </c>
      <c r="AP7" s="4">
        <f t="shared" ref="AP7" si="38">+W7/$D7</f>
        <v>3.3557537871048334E-4</v>
      </c>
      <c r="AQ7" s="4">
        <f t="shared" ref="AQ7" si="39">+X7/$D7</f>
        <v>4.6053002993564528E-4</v>
      </c>
      <c r="AR7" s="4">
        <f t="shared" ref="AR7" si="40">+Y7/$D7</f>
        <v>0</v>
      </c>
      <c r="AS7" s="4">
        <f t="shared" ref="AS7" si="41">+Z7/$D7</f>
        <v>0</v>
      </c>
    </row>
    <row r="8" spans="1:45" x14ac:dyDescent="0.25">
      <c r="A8">
        <f t="shared" si="6"/>
        <v>4</v>
      </c>
      <c r="B8" s="3">
        <f t="shared" si="15"/>
        <v>44624</v>
      </c>
      <c r="C8" s="41">
        <f>'[444]Part 1'!$C$18</f>
        <v>2898</v>
      </c>
      <c r="D8" s="2">
        <f>'[444]Part 1'!$C$22</f>
        <v>110363495.51000001</v>
      </c>
      <c r="E8" s="32">
        <f>'[444]Part 1'!$E$22</f>
        <v>1.3899999999999999E-2</v>
      </c>
      <c r="F8" s="8">
        <f t="shared" si="7"/>
        <v>0.98100865443286156</v>
      </c>
      <c r="G8" s="2">
        <f>'[444]Parts 2 - 3'!$C$49</f>
        <v>141116.07</v>
      </c>
      <c r="H8" s="8"/>
      <c r="I8" s="8"/>
      <c r="J8" s="8"/>
      <c r="K8" s="8"/>
      <c r="L8" s="8"/>
      <c r="M8" s="8"/>
      <c r="N8" s="6">
        <f t="shared" si="8"/>
        <v>1.2694941931865118E-3</v>
      </c>
      <c r="O8" s="6">
        <f t="shared" ref="O8" si="42">1-(+N8-1)^12</f>
        <v>1.5128012517785505E-2</v>
      </c>
      <c r="P8" s="40">
        <f t="shared" ref="P8:P11" si="43">AVERAGE(O6:O8)</f>
        <v>7.797605817735846E-3</v>
      </c>
      <c r="Q8" s="40" t="s">
        <v>63</v>
      </c>
      <c r="R8" s="40" t="s">
        <v>63</v>
      </c>
      <c r="S8" s="40"/>
      <c r="T8" s="26">
        <f>'[444]Parts 7 -10'!$C$4</f>
        <v>108959222.31999999</v>
      </c>
      <c r="U8" s="26">
        <f>'[444]Parts 7 -10'!$E$4</f>
        <v>885125.27</v>
      </c>
      <c r="V8" s="26">
        <f>'[444]Parts 7 -10'!$F$4</f>
        <v>407937.33</v>
      </c>
      <c r="W8" s="26">
        <f>'[444]Parts 7 -10'!$G$4</f>
        <v>73878.27</v>
      </c>
      <c r="X8" s="26">
        <f>'[444]Parts 7 -10'!$H$4</f>
        <v>37302.32</v>
      </c>
      <c r="Y8" s="26">
        <f>'[444]Parts 7 -10'!$J$4</f>
        <v>0</v>
      </c>
      <c r="Z8" s="26">
        <f>'[444]Parts 7 -10'!$O$16</f>
        <v>0</v>
      </c>
      <c r="AA8" s="26">
        <f t="shared" si="10"/>
        <v>0</v>
      </c>
      <c r="AB8" s="4">
        <f t="shared" ref="AB8" si="44">AA8/$D$4</f>
        <v>0</v>
      </c>
      <c r="AC8" s="2">
        <f>'[444]Part 11'!$V$8</f>
        <v>99340333.430320367</v>
      </c>
      <c r="AD8" s="8">
        <f t="shared" ref="AD8" si="45">+AC8/$AC$4</f>
        <v>0.99340333430320371</v>
      </c>
      <c r="AE8" s="2">
        <f t="shared" si="12"/>
        <v>88302518.604729205</v>
      </c>
      <c r="AF8" s="2">
        <f>'[444]Part 11'!$V$9</f>
        <v>10000000</v>
      </c>
      <c r="AG8" s="8">
        <f t="shared" ref="AG8" si="46">+AF8/$AF$4</f>
        <v>1</v>
      </c>
      <c r="AH8" s="2">
        <f>'[444]Part 11'!$V$10</f>
        <v>2500000</v>
      </c>
      <c r="AI8" s="8">
        <f t="shared" ref="AI8" si="47">+AH8/$AH$4</f>
        <v>1</v>
      </c>
      <c r="AJ8" s="8">
        <f t="shared" si="13"/>
        <v>0.90011949124354407</v>
      </c>
      <c r="AK8" s="2">
        <f>'[444]Parts 4 - 6 '!$C$32</f>
        <v>1092743.6677335242</v>
      </c>
      <c r="AL8" s="4">
        <f t="shared" ref="AL8" si="48">((+D8+AK8)-AC8)/D8</f>
        <v>0.10978182316013486</v>
      </c>
      <c r="AM8" s="4">
        <f t="shared" ref="AM8" si="49">+T8/$D8</f>
        <v>0.98727592684962784</v>
      </c>
      <c r="AN8" s="4">
        <f t="shared" ref="AN8" si="50">+U8/$D8</f>
        <v>8.0200909359544447E-3</v>
      </c>
      <c r="AO8" s="4">
        <f t="shared" ref="AO8" si="51">+V8/$D8</f>
        <v>3.6963067191274034E-3</v>
      </c>
      <c r="AP8" s="4">
        <f t="shared" ref="AP8" si="52">+W8/$D8</f>
        <v>6.6940857263175313E-4</v>
      </c>
      <c r="AQ8" s="4">
        <f t="shared" ref="AQ8" si="53">+X8/$D8</f>
        <v>3.3799509364597867E-4</v>
      </c>
      <c r="AR8" s="4">
        <f t="shared" ref="AR8" si="54">+Y8/$D8</f>
        <v>0</v>
      </c>
      <c r="AS8" s="4">
        <f t="shared" ref="AS8" si="55">+Z8/$D8</f>
        <v>0</v>
      </c>
    </row>
    <row r="9" spans="1:45" x14ac:dyDescent="0.25">
      <c r="A9">
        <f t="shared" si="6"/>
        <v>5</v>
      </c>
      <c r="B9" s="3">
        <f t="shared" si="15"/>
        <v>44655</v>
      </c>
      <c r="C9" s="41">
        <f>'[445]Part 1'!$C$18</f>
        <v>2890</v>
      </c>
      <c r="D9" s="2">
        <f>'[445]Part 1'!$C$22</f>
        <v>109725914.70999999</v>
      </c>
      <c r="E9" s="32">
        <f>'[444]Part 1'!$E$22</f>
        <v>1.3899999999999999E-2</v>
      </c>
      <c r="F9" s="8">
        <f t="shared" si="7"/>
        <v>0.97534127066787768</v>
      </c>
      <c r="G9" s="2">
        <f>'[445]Parts 2 - 3'!$C$49</f>
        <v>67858.09</v>
      </c>
      <c r="H9" s="8"/>
      <c r="I9" s="8"/>
      <c r="J9" s="8"/>
      <c r="K9" s="8"/>
      <c r="L9" s="8"/>
      <c r="M9" s="8"/>
      <c r="N9" s="6">
        <f t="shared" si="8"/>
        <v>6.1485991981697784E-4</v>
      </c>
      <c r="O9" s="6">
        <f t="shared" ref="O9" si="56">1-(+N9-1)^12</f>
        <v>7.353418626423025E-3</v>
      </c>
      <c r="P9" s="40">
        <f t="shared" si="43"/>
        <v>7.4938103814028434E-3</v>
      </c>
      <c r="Q9" s="40" t="s">
        <v>63</v>
      </c>
      <c r="R9" s="40" t="s">
        <v>63</v>
      </c>
      <c r="S9" s="40"/>
      <c r="T9" s="26">
        <f>'[445]Parts 7 -10'!$C$4</f>
        <v>108458494.89999999</v>
      </c>
      <c r="U9" s="26">
        <f>'[445]Parts 7 -10'!$E$4</f>
        <v>733971.16</v>
      </c>
      <c r="V9" s="26">
        <f>'[445]Parts 7 -10'!$F$4</f>
        <v>297192.96000000002</v>
      </c>
      <c r="W9" s="26">
        <f>'[445]Parts 7 -10'!$G$4</f>
        <v>167768.19</v>
      </c>
      <c r="X9" s="26">
        <f>'[445]Parts 7 -10'!$H$4</f>
        <v>31185.18</v>
      </c>
      <c r="Y9" s="26">
        <f>'[445]Parts 7 -10'!$J$4</f>
        <v>37302.32</v>
      </c>
      <c r="Z9" s="26">
        <f>'[445]Parts 7 -10'!$O$16</f>
        <v>0</v>
      </c>
      <c r="AA9" s="26">
        <f t="shared" si="10"/>
        <v>0</v>
      </c>
      <c r="AB9" s="4">
        <f t="shared" ref="AB9" si="57">AA9/$D$4</f>
        <v>0</v>
      </c>
      <c r="AC9" s="2">
        <f>'[445]Part 11'!$V$8</f>
        <v>99005084.00032036</v>
      </c>
      <c r="AD9" s="8">
        <f t="shared" ref="AD9" si="58">+AC9/$AC$4</f>
        <v>0.99005084000320365</v>
      </c>
      <c r="AE9" s="2">
        <f t="shared" si="12"/>
        <v>88004519.111395866</v>
      </c>
      <c r="AF9" s="2">
        <f>'[445]Part 11'!$V$9</f>
        <v>10000000</v>
      </c>
      <c r="AG9" s="8">
        <f t="shared" ref="AG9" si="59">+AF9/$AF$4</f>
        <v>1</v>
      </c>
      <c r="AH9" s="2">
        <f>'[445]Part 11'!$V$10</f>
        <v>2500000</v>
      </c>
      <c r="AI9" s="8">
        <f t="shared" ref="AI9" si="60">+AH9/$AH$4</f>
        <v>1</v>
      </c>
      <c r="AJ9" s="8">
        <f t="shared" si="13"/>
        <v>0.90229445124231367</v>
      </c>
      <c r="AK9" s="2">
        <f>'[445]Parts 4 - 6 '!$C$32</f>
        <v>1089055.9240035238</v>
      </c>
      <c r="AL9" s="4">
        <f t="shared" ref="AL9" si="61">((+D9+AK9)-AC9)/D9</f>
        <v>0.10763078772135178</v>
      </c>
      <c r="AM9" s="4">
        <f t="shared" ref="AM9" si="62">+T9/$D9</f>
        <v>0.98844922083037789</v>
      </c>
      <c r="AN9" s="4">
        <f t="shared" ref="AN9" si="63">+U9/$D9</f>
        <v>6.6891322978700927E-3</v>
      </c>
      <c r="AO9" s="4">
        <f t="shared" ref="AO9" si="64">+V9/$D9</f>
        <v>2.7085029164301421E-3</v>
      </c>
      <c r="AP9" s="4">
        <f t="shared" ref="AP9" si="65">+W9/$D9</f>
        <v>1.5289750870922589E-3</v>
      </c>
      <c r="AQ9" s="4">
        <f t="shared" ref="AQ9" si="66">+X9/$D9</f>
        <v>2.842097974978914E-4</v>
      </c>
      <c r="AR9" s="4">
        <f t="shared" ref="AR9" si="67">+Y9/$D9</f>
        <v>3.3995907073172395E-4</v>
      </c>
      <c r="AS9" s="4">
        <f t="shared" ref="AS9" si="68">+Z9/$D9</f>
        <v>0</v>
      </c>
    </row>
    <row r="10" spans="1:45" x14ac:dyDescent="0.25">
      <c r="A10">
        <f t="shared" si="6"/>
        <v>6</v>
      </c>
      <c r="B10" s="3">
        <f t="shared" si="15"/>
        <v>44686</v>
      </c>
      <c r="C10" s="41">
        <f>'[446]Part 1'!$C$18</f>
        <v>2882</v>
      </c>
      <c r="D10" s="2">
        <f>'[446]Part 1'!$C$22</f>
        <v>109058367.23</v>
      </c>
      <c r="E10" s="32">
        <f>'[444]Part 1'!$E$22</f>
        <v>1.3899999999999999E-2</v>
      </c>
      <c r="F10" s="8">
        <f t="shared" si="7"/>
        <v>0.96940751646682943</v>
      </c>
      <c r="G10" s="2">
        <f>'[446]Parts 2 - 3'!$C$49</f>
        <v>71159.360000000001</v>
      </c>
      <c r="H10" s="8"/>
      <c r="I10" s="8"/>
      <c r="J10" s="8"/>
      <c r="K10" s="8"/>
      <c r="L10" s="8"/>
      <c r="M10" s="8"/>
      <c r="N10" s="6">
        <f t="shared" si="8"/>
        <v>6.4851917788127413E-4</v>
      </c>
      <c r="O10" s="6">
        <f t="shared" ref="O10" si="69">1-(+N10-1)^12</f>
        <v>7.7545319624305886E-3</v>
      </c>
      <c r="P10" s="40">
        <f t="shared" si="43"/>
        <v>1.0078654368879706E-2</v>
      </c>
      <c r="Q10" s="20">
        <f t="shared" ref="Q10:Q15" si="70">AVERAGE(O5:O10)</f>
        <v>7.7812595212847962E-3</v>
      </c>
      <c r="R10" s="40" t="s">
        <v>63</v>
      </c>
      <c r="S10" s="40"/>
      <c r="T10" s="26">
        <f>'[446]Parts 7 -10'!$C$4</f>
        <v>106880716.52</v>
      </c>
      <c r="U10" s="26">
        <f>'[446]Parts 7 -10'!$E$4</f>
        <v>1291084.6100000001</v>
      </c>
      <c r="V10" s="26">
        <f>'[446]Parts 7 -10'!$F$4</f>
        <v>469843.88</v>
      </c>
      <c r="W10" s="26">
        <f>'[446]Parts 7 -10'!$G$4</f>
        <v>102051.15</v>
      </c>
      <c r="X10" s="26">
        <f>'[446]Parts 7 -10'!$H$4</f>
        <v>167201.28</v>
      </c>
      <c r="Y10" s="26">
        <f>'[446]Parts 7 -10'!$J$4</f>
        <v>39131.730000000003</v>
      </c>
      <c r="Z10" s="26">
        <f>31185.18+42693.09+34459.79</f>
        <v>108338.06</v>
      </c>
      <c r="AA10" s="26">
        <f>AA9+Z10</f>
        <v>108338.06</v>
      </c>
      <c r="AB10" s="4">
        <f t="shared" ref="AB10" si="71">AA10/$D$4</f>
        <v>9.6300478680322842E-4</v>
      </c>
      <c r="AC10" s="2">
        <f>'[446]Part 11'!$V$8</f>
        <v>98648527.340320364</v>
      </c>
      <c r="AD10" s="8">
        <f t="shared" ref="AD10" si="72">+AC10/$AC$4</f>
        <v>0.98648527340320369</v>
      </c>
      <c r="AE10" s="2">
        <f t="shared" si="12"/>
        <v>87687579.858062536</v>
      </c>
      <c r="AF10" s="2">
        <f>'[446]Part 11'!$V$9</f>
        <v>10000000</v>
      </c>
      <c r="AG10" s="8">
        <f t="shared" ref="AG10" si="73">+AF10/$AF$4</f>
        <v>1</v>
      </c>
      <c r="AH10" s="2">
        <f>'[446]Part 11'!$V$10</f>
        <v>2500000</v>
      </c>
      <c r="AI10" s="8">
        <f t="shared" ref="AI10" si="74">+AH10/$AH$4</f>
        <v>1</v>
      </c>
      <c r="AJ10" s="8">
        <f t="shared" si="13"/>
        <v>0.90454799430725308</v>
      </c>
      <c r="AK10" s="2">
        <f>'[446]Parts 4 - 6 '!$C$32</f>
        <v>1085133.8007435242</v>
      </c>
      <c r="AL10" s="4">
        <f t="shared" ref="AL10" si="75">((+D10+AK10)-AC10)/D10</f>
        <v>0.10540203363012664</v>
      </c>
      <c r="AM10" s="4">
        <f t="shared" ref="AM10" si="76">+T10/$D10</f>
        <v>0.98003224543599277</v>
      </c>
      <c r="AN10" s="4">
        <f t="shared" ref="AN10" si="77">+U10/$D10</f>
        <v>1.1838473679668714E-2</v>
      </c>
      <c r="AO10" s="4">
        <f t="shared" ref="AO10" si="78">+V10/$D10</f>
        <v>4.3081873673123756E-3</v>
      </c>
      <c r="AP10" s="4">
        <f t="shared" ref="AP10" si="79">+W10/$D10</f>
        <v>9.3574800899758515E-4</v>
      </c>
      <c r="AQ10" s="4">
        <f t="shared" ref="AQ10" si="80">+X10/$D10</f>
        <v>1.5331357349902257E-3</v>
      </c>
      <c r="AR10" s="4">
        <f t="shared" ref="AR10" si="81">+Y10/$D10</f>
        <v>3.5881455952364161E-4</v>
      </c>
      <c r="AS10" s="4">
        <f t="shared" ref="AS10" si="82">+Z10/$D10</f>
        <v>9.9339521351460443E-4</v>
      </c>
    </row>
    <row r="11" spans="1:45" x14ac:dyDescent="0.25">
      <c r="A11">
        <f t="shared" si="6"/>
        <v>7</v>
      </c>
      <c r="B11" s="3">
        <f t="shared" si="15"/>
        <v>44717</v>
      </c>
      <c r="C11" s="41">
        <f>'[447]Part 1'!$C$18</f>
        <v>2871</v>
      </c>
      <c r="D11" s="2">
        <f>'[447]Part 1'!$C$22</f>
        <v>108252103.56</v>
      </c>
      <c r="E11" s="32">
        <f>'[444]Part 1'!$E$22</f>
        <v>1.3899999999999999E-2</v>
      </c>
      <c r="F11" s="8">
        <f t="shared" ref="F11" si="83">+D11/$D$4</f>
        <v>0.96224072971030505</v>
      </c>
      <c r="G11" s="2">
        <f>'[447]Parts 2 - 3'!$C$49</f>
        <v>143832.87</v>
      </c>
      <c r="H11" s="8"/>
      <c r="I11" s="8"/>
      <c r="J11" s="8"/>
      <c r="K11" s="8"/>
      <c r="L11" s="8"/>
      <c r="M11" s="8"/>
      <c r="N11" s="6">
        <f t="shared" ref="N11" si="84">G11/D10</f>
        <v>1.3188613918697486E-3</v>
      </c>
      <c r="O11" s="6">
        <f t="shared" ref="O11" si="85">1-(+N11-1)^12</f>
        <v>1.5712039798196242E-2</v>
      </c>
      <c r="P11" s="40">
        <f t="shared" si="43"/>
        <v>1.0273330129016619E-2</v>
      </c>
      <c r="Q11" s="20">
        <f t="shared" si="70"/>
        <v>9.0354679733762322E-3</v>
      </c>
      <c r="R11" s="40" t="s">
        <v>63</v>
      </c>
      <c r="S11" s="40"/>
      <c r="T11" s="26">
        <f>'[447]Parts 7 -10'!$C$4</f>
        <v>106113066.96000001</v>
      </c>
      <c r="U11" s="26">
        <f>'[447]Parts 7 -10'!$E$4</f>
        <v>1258192.69</v>
      </c>
      <c r="V11" s="26">
        <f>'[447]Parts 7 -10'!$F$4</f>
        <v>493542.14</v>
      </c>
      <c r="W11" s="26">
        <f>'[447]Parts 7 -10'!$G$4</f>
        <v>50799.86</v>
      </c>
      <c r="X11" s="26">
        <f>'[447]Parts 7 -10'!$H$4</f>
        <v>101826.25</v>
      </c>
      <c r="Y11" s="26">
        <f>'[447]Parts 7 -10'!$J$4</f>
        <v>169030.69</v>
      </c>
      <c r="Z11" s="26">
        <f>'[447]Parts 7 -10'!$O$16</f>
        <v>39131.730000000003</v>
      </c>
      <c r="AA11" s="26">
        <f t="shared" ref="AA11" si="86">AA10+Z11</f>
        <v>147469.79</v>
      </c>
      <c r="AB11" s="4">
        <f t="shared" ref="AB11" si="87">AA11/$D$4</f>
        <v>1.3108423178231812E-3</v>
      </c>
      <c r="AC11" s="2">
        <f>'[447]Part 11'!$V$8</f>
        <v>98140327.88032037</v>
      </c>
      <c r="AD11" s="8">
        <f t="shared" ref="AD11" si="88">+AC11/$AC$4</f>
        <v>0.98140327880320366</v>
      </c>
      <c r="AE11" s="2">
        <f t="shared" ref="AE11" si="89">AC11*$AE$2</f>
        <v>87235847.004729211</v>
      </c>
      <c r="AF11" s="2">
        <f>'[447]Part 11'!$V$9</f>
        <v>10000000</v>
      </c>
      <c r="AG11" s="8">
        <f t="shared" ref="AG11" si="90">+AF11/$AF$4</f>
        <v>1</v>
      </c>
      <c r="AH11" s="2">
        <f>'[447]Part 11'!$V$10</f>
        <v>2500000</v>
      </c>
      <c r="AI11" s="8">
        <f t="shared" ref="AI11" si="91">+AH11/$AH$4</f>
        <v>1</v>
      </c>
      <c r="AJ11" s="8">
        <f t="shared" ref="AJ11" si="92">+AC11/D11</f>
        <v>0.90659049249721912</v>
      </c>
      <c r="AK11" s="2">
        <f>'[447]Parts 4 - 6 '!$C$32</f>
        <v>1079543.6066835241</v>
      </c>
      <c r="AL11" s="4">
        <f t="shared" ref="AL11" si="93">((+D11+AK11)-AC11)/D11</f>
        <v>0.10338200292025027</v>
      </c>
      <c r="AM11" s="4">
        <f t="shared" ref="AM11" si="94">+T11/$D11</f>
        <v>0.98024023063150534</v>
      </c>
      <c r="AN11" s="4">
        <f t="shared" ref="AN11" si="95">+U11/$D11</f>
        <v>1.1622801300139464E-2</v>
      </c>
      <c r="AO11" s="4">
        <f t="shared" ref="AO11" si="96">+V11/$D11</f>
        <v>4.5591921428709097E-3</v>
      </c>
      <c r="AP11" s="4">
        <f t="shared" ref="AP11" si="97">+W11/$D11</f>
        <v>4.6927365223756211E-4</v>
      </c>
      <c r="AQ11" s="4">
        <f t="shared" ref="AQ11" si="98">+X11/$D11</f>
        <v>9.4063991969968138E-4</v>
      </c>
      <c r="AR11" s="4">
        <f t="shared" ref="AR11" si="99">+Y11/$D11</f>
        <v>1.5614540913407079E-3</v>
      </c>
      <c r="AS11" s="4">
        <f t="shared" ref="AS11" si="100">+Z11/$D11</f>
        <v>3.6148701700111337E-4</v>
      </c>
    </row>
    <row r="12" spans="1:45" x14ac:dyDescent="0.25">
      <c r="A12">
        <f t="shared" si="6"/>
        <v>8</v>
      </c>
      <c r="B12" s="3">
        <f t="shared" si="15"/>
        <v>44748</v>
      </c>
      <c r="C12" s="41">
        <f>'[448]Part 1'!$C$18</f>
        <v>2861</v>
      </c>
      <c r="D12" s="2">
        <f>'[448]Part 1'!$C$22</f>
        <v>107498077.16</v>
      </c>
      <c r="E12" s="32">
        <f>'[444]Part 1'!$E$22</f>
        <v>1.3899999999999999E-2</v>
      </c>
      <c r="F12" s="8">
        <f t="shared" ref="F12" si="101">+D12/$D$4</f>
        <v>0.95553827415058756</v>
      </c>
      <c r="G12" s="2">
        <f>'[448]Parts 2 - 3'!$C$49</f>
        <v>152922.43</v>
      </c>
      <c r="H12" s="8"/>
      <c r="I12" s="8"/>
      <c r="J12" s="8"/>
      <c r="K12" s="8"/>
      <c r="L12" s="8"/>
      <c r="M12" s="8"/>
      <c r="N12" s="6">
        <f t="shared" ref="N12" si="102">G12/D11</f>
        <v>1.4126508859501371E-3</v>
      </c>
      <c r="O12" s="6">
        <f t="shared" ref="O12" si="103">1-(+N12-1)^12</f>
        <v>1.6820720411411361E-2</v>
      </c>
      <c r="P12" s="40">
        <f t="shared" ref="P12:P17" si="104">AVERAGE(O10:O12)</f>
        <v>1.3429097390679398E-2</v>
      </c>
      <c r="Q12" s="20">
        <f t="shared" si="70"/>
        <v>1.046145388604112E-2</v>
      </c>
      <c r="R12" s="40" t="s">
        <v>63</v>
      </c>
      <c r="S12" s="40"/>
      <c r="T12" s="26">
        <f>'[448]Parts 7 -10'!$C$4</f>
        <v>104852083.12</v>
      </c>
      <c r="U12" s="26">
        <f>'[448]Parts 7 -10'!$E$4</f>
        <v>1620081.67</v>
      </c>
      <c r="V12" s="26">
        <f>'[448]Parts 7 -10'!$F$4</f>
        <v>583649.64</v>
      </c>
      <c r="W12" s="26">
        <f>'[448]Parts 7 -10'!$G$4</f>
        <v>171547.25</v>
      </c>
      <c r="X12" s="26">
        <f>'[448]Parts 7 -10'!$H$4</f>
        <v>42693.09</v>
      </c>
      <c r="Y12" s="26">
        <f>'[448]Parts 7 -10'!$J$4</f>
        <v>37302.32</v>
      </c>
      <c r="Z12" s="26">
        <f>36748.54+49194.83</f>
        <v>85943.37</v>
      </c>
      <c r="AA12" s="26">
        <f t="shared" ref="AA12" si="105">AA11+Z12</f>
        <v>233413.16</v>
      </c>
      <c r="AB12" s="4">
        <f t="shared" ref="AB12" si="106">AA12/$D$4</f>
        <v>2.074783232991876E-3</v>
      </c>
      <c r="AC12" s="2">
        <f>'[448]Part 11'!$V$8</f>
        <v>97690863.600320369</v>
      </c>
      <c r="AD12" s="8">
        <f t="shared" ref="AD12" si="107">+AC12/$AC$4</f>
        <v>0.97690863600320366</v>
      </c>
      <c r="AE12" s="2">
        <f t="shared" ref="AE12" si="108">AC12*$AE$2</f>
        <v>86836323.200284764</v>
      </c>
      <c r="AF12" s="2">
        <f>'[448]Part 11'!$V$9</f>
        <v>10000000</v>
      </c>
      <c r="AG12" s="8">
        <f t="shared" ref="AG12" si="109">+AF12/$AF$4</f>
        <v>1</v>
      </c>
      <c r="AH12" s="2">
        <f>'[448]Part 11'!$V$10</f>
        <v>2500000</v>
      </c>
      <c r="AI12" s="8">
        <f t="shared" ref="AI12" si="110">+AH12/$AH$4</f>
        <v>1</v>
      </c>
      <c r="AJ12" s="8">
        <f t="shared" ref="AJ12" si="111">+AC12/D12</f>
        <v>0.90876847457389787</v>
      </c>
      <c r="AK12" s="2">
        <f>'[448]Parts 4 - 6 '!$C$32</f>
        <v>1074599.4996035241</v>
      </c>
      <c r="AL12" s="4">
        <f t="shared" ref="AL12" si="112">((+D12+AK12)-AC12)/D12</f>
        <v>0.101227978646415</v>
      </c>
      <c r="AM12" s="4">
        <f t="shared" ref="AM12" si="113">+T12/$D12</f>
        <v>0.97538566167968099</v>
      </c>
      <c r="AN12" s="4">
        <f t="shared" ref="AN12" si="114">+U12/$D12</f>
        <v>1.5070796732379431E-2</v>
      </c>
      <c r="AO12" s="4">
        <f t="shared" ref="AO12" si="115">+V12/$D12</f>
        <v>5.4293960917207538E-3</v>
      </c>
      <c r="AP12" s="4">
        <f t="shared" ref="AP12" si="116">+W12/$D12</f>
        <v>1.5958169162846448E-3</v>
      </c>
      <c r="AQ12" s="4">
        <f t="shared" ref="AQ12" si="117">+X12/$D12</f>
        <v>3.9715212706973034E-4</v>
      </c>
      <c r="AR12" s="4">
        <f t="shared" ref="AR12" si="118">+Y12/$D12</f>
        <v>3.4700453241111724E-4</v>
      </c>
      <c r="AS12" s="4">
        <f t="shared" ref="AS12" si="119">+Z12/$D12</f>
        <v>7.9948750964244683E-4</v>
      </c>
    </row>
    <row r="13" spans="1:45" x14ac:dyDescent="0.25">
      <c r="A13">
        <f t="shared" si="6"/>
        <v>9</v>
      </c>
      <c r="B13" s="3">
        <f t="shared" si="15"/>
        <v>44779</v>
      </c>
      <c r="C13" s="41">
        <f>'[449]Part 1'!$C$18</f>
        <v>2852</v>
      </c>
      <c r="D13" s="2">
        <f>'[449]Part 1'!$C$22</f>
        <v>106835243.98999999</v>
      </c>
      <c r="E13" s="32">
        <f>'[444]Part 1'!$E$22</f>
        <v>1.3899999999999999E-2</v>
      </c>
      <c r="F13" s="8">
        <f t="shared" ref="F13" si="120">+D13/$D$4</f>
        <v>0.94964642491900664</v>
      </c>
      <c r="G13" s="2">
        <f>'[449]Parts 2 - 3'!$C$49</f>
        <v>100582.74</v>
      </c>
      <c r="H13" s="8"/>
      <c r="I13" s="8"/>
      <c r="J13" s="8"/>
      <c r="K13" s="8"/>
      <c r="L13" s="8"/>
      <c r="M13" s="8"/>
      <c r="N13" s="6">
        <f t="shared" ref="N13" si="121">G13/D12</f>
        <v>9.3567013157168182E-4</v>
      </c>
      <c r="O13" s="6">
        <f t="shared" ref="O13" si="122">1-(+N13-1)^12</f>
        <v>1.1170439827769219E-2</v>
      </c>
      <c r="P13" s="40">
        <f t="shared" si="104"/>
        <v>1.4567733345792274E-2</v>
      </c>
      <c r="Q13" s="20">
        <f t="shared" si="70"/>
        <v>1.232319385733599E-2</v>
      </c>
      <c r="R13" s="40" t="s">
        <v>63</v>
      </c>
      <c r="S13" s="40"/>
      <c r="T13" s="26">
        <f>'[449]Parts 7 -10'!$C$4</f>
        <v>103870176.98</v>
      </c>
      <c r="U13" s="26">
        <f>'[449]Parts 7 -10'!$E$4</f>
        <v>1671583.7</v>
      </c>
      <c r="V13" s="26">
        <f>'[449]Parts 7 -10'!$F$4</f>
        <v>605629.71</v>
      </c>
      <c r="W13" s="26">
        <f>'[449]Parts 7 -10'!$G$4</f>
        <v>435590.3</v>
      </c>
      <c r="X13" s="26">
        <f>'[449]Parts 7 -10'!$H$4</f>
        <v>73435.740000000005</v>
      </c>
      <c r="Y13" s="26">
        <f>37900.04+90049.5</f>
        <v>127949.54000000001</v>
      </c>
      <c r="Z13" s="26">
        <f>'[449]Parts 7 -10'!$O$16</f>
        <v>37302.32</v>
      </c>
      <c r="AA13" s="26">
        <f t="shared" ref="AA13" si="123">AA12+Z13</f>
        <v>270715.48</v>
      </c>
      <c r="AB13" s="4">
        <f t="shared" ref="AB13" si="124">AA13/$D$4</f>
        <v>2.4063593450144266E-3</v>
      </c>
      <c r="AC13" s="2">
        <f>'[449]Part 11'!$V$8</f>
        <v>97328323.590320364</v>
      </c>
      <c r="AD13" s="8">
        <f t="shared" ref="AD13" si="125">+AC13/$AC$4</f>
        <v>0.97328323590320365</v>
      </c>
      <c r="AE13" s="2">
        <f t="shared" ref="AE13" si="126">AC13*$AE$2</f>
        <v>86514065.413618103</v>
      </c>
      <c r="AF13" s="2">
        <f>'[449]Part 11'!$V$9</f>
        <v>10000000</v>
      </c>
      <c r="AG13" s="8">
        <f t="shared" ref="AG13" si="127">+AF13/$AF$4</f>
        <v>1</v>
      </c>
      <c r="AH13" s="2">
        <f>'[449]Part 11'!$V$10</f>
        <v>2500000</v>
      </c>
      <c r="AI13" s="8">
        <f t="shared" ref="AI13" si="128">+AH13/$AH$4</f>
        <v>1</v>
      </c>
      <c r="AJ13" s="8">
        <f t="shared" ref="AJ13" si="129">+AC13/D13</f>
        <v>0.91101325700562352</v>
      </c>
      <c r="AK13" s="2">
        <f>'[449]Parts 4 - 6 '!$C$32</f>
        <v>1070611.559493524</v>
      </c>
      <c r="AL13" s="4">
        <f t="shared" ref="AL13" si="130">((+D13+AK13)-AC13)/D13</f>
        <v>9.9007888821438336E-2</v>
      </c>
      <c r="AM13" s="4">
        <f t="shared" ref="AM13" si="131">+T13/$D13</f>
        <v>0.97224635897983691</v>
      </c>
      <c r="AN13" s="4">
        <f t="shared" ref="AN13" si="132">+U13/$D13</f>
        <v>1.5646369471075141E-2</v>
      </c>
      <c r="AO13" s="4">
        <f t="shared" ref="AO13" si="133">+V13/$D13</f>
        <v>5.6688194586487599E-3</v>
      </c>
      <c r="AP13" s="4">
        <f t="shared" ref="AP13" si="134">+W13/$D13</f>
        <v>4.0772153807293425E-3</v>
      </c>
      <c r="AQ13" s="4">
        <f t="shared" ref="AQ13" si="135">+X13/$D13</f>
        <v>6.8737372853169831E-4</v>
      </c>
      <c r="AR13" s="4">
        <f t="shared" ref="AR13" si="136">+Y13/$D13</f>
        <v>1.1976341815812801E-3</v>
      </c>
      <c r="AS13" s="4">
        <f t="shared" ref="AS13" si="137">+Z13/$D13</f>
        <v>3.4915743725442863E-4</v>
      </c>
    </row>
    <row r="14" spans="1:45" x14ac:dyDescent="0.25">
      <c r="A14">
        <f t="shared" si="6"/>
        <v>10</v>
      </c>
      <c r="B14" s="3">
        <f t="shared" si="15"/>
        <v>44810</v>
      </c>
      <c r="C14" s="41">
        <v>2837</v>
      </c>
      <c r="D14" s="2">
        <f>'[450]Part 1'!$C$22</f>
        <v>106051425.75</v>
      </c>
      <c r="E14" s="32">
        <f>'[444]Part 1'!$E$22</f>
        <v>1.3899999999999999E-2</v>
      </c>
      <c r="F14" s="8">
        <f t="shared" ref="F14" si="138">+D14/$D$4</f>
        <v>0.94267915305624972</v>
      </c>
      <c r="G14" s="2">
        <f>'[450]Parts 2 - 3'!$C$49</f>
        <v>176728.34</v>
      </c>
      <c r="H14" s="8"/>
      <c r="I14" s="8"/>
      <c r="J14" s="8"/>
      <c r="K14" s="8"/>
      <c r="L14" s="8"/>
      <c r="M14" s="8"/>
      <c r="N14" s="6">
        <f t="shared" ref="N14" si="139">G14/D13</f>
        <v>1.654213847412958E-3</v>
      </c>
      <c r="O14" s="6">
        <f t="shared" ref="O14" si="140">1-(+N14-1)^12</f>
        <v>1.9670954382789096E-2</v>
      </c>
      <c r="P14" s="40">
        <f t="shared" si="104"/>
        <v>1.5887371540656559E-2</v>
      </c>
      <c r="Q14" s="20">
        <f t="shared" si="70"/>
        <v>1.3080350834836588E-2</v>
      </c>
      <c r="R14" s="40" t="s">
        <v>63</v>
      </c>
      <c r="S14" s="40"/>
      <c r="T14" s="26">
        <f>'[450]Parts 7 -10'!$C$4</f>
        <v>103121091.64000002</v>
      </c>
      <c r="U14" s="26">
        <f>'[450]Parts 7 -10'!$E$4</f>
        <v>1535414.55</v>
      </c>
      <c r="V14" s="26">
        <f>'[450]Parts 7 -10'!$F$4</f>
        <v>613114.05000000005</v>
      </c>
      <c r="W14" s="26">
        <f>'[450]Parts 7 -10'!$G$4</f>
        <v>352611.36</v>
      </c>
      <c r="X14" s="26">
        <f>'[450]Parts 7 -10'!$H$4</f>
        <v>250366.59</v>
      </c>
      <c r="Y14" s="26">
        <f>'[450]Parts 7 -10'!$J$4</f>
        <v>0</v>
      </c>
      <c r="Z14" s="26">
        <v>0</v>
      </c>
      <c r="AA14" s="26">
        <f t="shared" ref="AA14" si="141">AA13+Z14</f>
        <v>270715.48</v>
      </c>
      <c r="AB14" s="4">
        <f t="shared" ref="AB14" si="142">AA14/$D$4</f>
        <v>2.4063593450144266E-3</v>
      </c>
      <c r="AC14" s="2">
        <f>'[450]Part 11'!$V$8</f>
        <v>96834012.800320357</v>
      </c>
      <c r="AD14" s="8">
        <f t="shared" ref="AD14" si="143">+AC14/$AC$4</f>
        <v>0.96834012800320357</v>
      </c>
      <c r="AE14" s="2">
        <f t="shared" ref="AE14" si="144">AC14*$AE$2</f>
        <v>86074678.044729203</v>
      </c>
      <c r="AF14" s="2">
        <f>'[450]Part 11'!$V$9</f>
        <v>10000000</v>
      </c>
      <c r="AG14" s="8">
        <f t="shared" ref="AG14" si="145">+AF14/$AF$4</f>
        <v>1</v>
      </c>
      <c r="AH14" s="2">
        <f>'[450]Part 11'!$V$10</f>
        <v>2500000</v>
      </c>
      <c r="AI14" s="8">
        <f t="shared" ref="AI14" si="146">+AH14/$AH$4</f>
        <v>1</v>
      </c>
      <c r="AJ14" s="8">
        <f t="shared" ref="AJ14" si="147">+AC14/D14</f>
        <v>0.91308544053515805</v>
      </c>
      <c r="AK14" s="2">
        <f>'[450]Parts 4 - 6 '!$C$32</f>
        <v>1065174.1408035241</v>
      </c>
      <c r="AL14" s="4">
        <f t="shared" ref="AL14" si="148">((+D14+AK14)-AC14)/D14</f>
        <v>9.6958499310728724E-2</v>
      </c>
      <c r="AM14" s="4">
        <f t="shared" ref="AM14" si="149">+T14/$D14</f>
        <v>0.97236874384972627</v>
      </c>
      <c r="AN14" s="4">
        <f t="shared" ref="AN14" si="150">+U14/$D14</f>
        <v>1.4478018934130171E-2</v>
      </c>
      <c r="AO14" s="4">
        <f t="shared" ref="AO14" si="151">+V14/$D14</f>
        <v>5.7812900266453991E-3</v>
      </c>
      <c r="AP14" s="4">
        <f t="shared" ref="AP14" si="152">+W14/$D14</f>
        <v>3.3249091891628811E-3</v>
      </c>
      <c r="AQ14" s="4">
        <f t="shared" ref="AQ14" si="153">+X14/$D14</f>
        <v>2.3608036217278297E-3</v>
      </c>
      <c r="AR14" s="4">
        <f t="shared" ref="AR14" si="154">+Y14/$D14</f>
        <v>0</v>
      </c>
      <c r="AS14" s="4">
        <f t="shared" ref="AS14" si="155">+Z14/$D14</f>
        <v>0</v>
      </c>
    </row>
    <row r="15" spans="1:45" x14ac:dyDescent="0.25">
      <c r="A15">
        <f t="shared" si="6"/>
        <v>11</v>
      </c>
      <c r="B15" s="3">
        <f t="shared" si="15"/>
        <v>44841</v>
      </c>
      <c r="C15" s="41">
        <v>2828</v>
      </c>
      <c r="D15" s="2">
        <v>105349258.48</v>
      </c>
      <c r="E15" s="32">
        <f>'[444]Part 1'!$E$22</f>
        <v>1.3899999999999999E-2</v>
      </c>
      <c r="F15" s="8">
        <f t="shared" ref="F15" si="156">+D15/$D$4</f>
        <v>0.93643766744956125</v>
      </c>
      <c r="G15" s="2">
        <v>125973.58</v>
      </c>
      <c r="H15" s="8"/>
      <c r="I15" s="8"/>
      <c r="J15" s="8"/>
      <c r="K15" s="8"/>
      <c r="L15" s="8"/>
      <c r="M15" s="8"/>
      <c r="N15" s="6">
        <f t="shared" ref="N15" si="157">G15/D14</f>
        <v>1.187853714451359E-3</v>
      </c>
      <c r="O15" s="6">
        <f t="shared" ref="O15" si="158">1-(+N15-1)^12</f>
        <v>1.4161486556910186E-2</v>
      </c>
      <c r="P15" s="40">
        <f t="shared" si="104"/>
        <v>1.5000960255822834E-2</v>
      </c>
      <c r="Q15" s="20">
        <f t="shared" si="70"/>
        <v>1.4215028823251116E-2</v>
      </c>
      <c r="R15" s="40" t="s">
        <v>63</v>
      </c>
      <c r="S15" s="40"/>
      <c r="T15" s="26">
        <f>17914218.79+78416592.46+5825979.79</f>
        <v>102156791.04000001</v>
      </c>
      <c r="U15" s="26">
        <v>1209560.8400000001</v>
      </c>
      <c r="V15" s="26">
        <v>944146.45</v>
      </c>
      <c r="W15" s="26">
        <v>569990.71</v>
      </c>
      <c r="X15" s="26">
        <v>212733.14</v>
      </c>
      <c r="Y15" s="26">
        <v>77208.740000000005</v>
      </c>
      <c r="Z15" s="26">
        <v>0</v>
      </c>
      <c r="AA15" s="26">
        <f t="shared" ref="AA15" si="159">AA14+Z15</f>
        <v>270715.48</v>
      </c>
      <c r="AB15" s="4">
        <f t="shared" ref="AB15" si="160">AA15/$D$4</f>
        <v>2.4063593450144266E-3</v>
      </c>
      <c r="AC15" s="2">
        <v>96428244.469999999</v>
      </c>
      <c r="AD15" s="8">
        <f t="shared" ref="AD15" si="161">+AC15/$AC$4</f>
        <v>0.96428244470000002</v>
      </c>
      <c r="AE15" s="2">
        <f t="shared" ref="AE15" si="162">AC15*$AE$2</f>
        <v>85713995.084444433</v>
      </c>
      <c r="AF15" s="2">
        <v>10000000</v>
      </c>
      <c r="AG15" s="8">
        <f t="shared" ref="AG15" si="163">+AF15/$AF$4</f>
        <v>1</v>
      </c>
      <c r="AH15" s="2">
        <v>2500000</v>
      </c>
      <c r="AI15" s="8">
        <f t="shared" ref="AI15" si="164">+AH15/$AH$4</f>
        <v>1</v>
      </c>
      <c r="AJ15" s="8">
        <f t="shared" ref="AJ15" si="165">+AC15/D15</f>
        <v>0.91531963168308761</v>
      </c>
      <c r="AK15" s="2">
        <f>'[450]Parts 4 - 6 '!$C$32</f>
        <v>1065174.1408035241</v>
      </c>
      <c r="AL15" s="4">
        <f t="shared" ref="AL15" si="166">((+D15+AK15)-AC15)/D15</f>
        <v>9.4791252400693082E-2</v>
      </c>
      <c r="AM15" s="4">
        <f t="shared" ref="AM15" si="167">+T15/$D15</f>
        <v>0.96969634636198154</v>
      </c>
      <c r="AN15" s="4">
        <f t="shared" ref="AN15" si="168">+U15/$D15</f>
        <v>1.1481436675034868E-2</v>
      </c>
      <c r="AO15" s="4">
        <f t="shared" ref="AO15" si="169">+V15/$D15</f>
        <v>8.9620607076151479E-3</v>
      </c>
      <c r="AP15" s="4">
        <f t="shared" ref="AP15" si="170">+W15/$D15</f>
        <v>5.4104862077240879E-3</v>
      </c>
      <c r="AQ15" s="4">
        <f t="shared" ref="AQ15" si="171">+X15/$D15</f>
        <v>2.0193131216048026E-3</v>
      </c>
      <c r="AR15" s="4">
        <f t="shared" ref="AR15" si="172">+Y15/$D15</f>
        <v>7.3288356381414558E-4</v>
      </c>
      <c r="AS15" s="4">
        <f t="shared" ref="AS15" si="173">+Z15/$D15</f>
        <v>0</v>
      </c>
    </row>
    <row r="16" spans="1:45" x14ac:dyDescent="0.25">
      <c r="A16">
        <f t="shared" si="6"/>
        <v>12</v>
      </c>
      <c r="B16" s="3">
        <f t="shared" si="15"/>
        <v>44872</v>
      </c>
      <c r="C16" s="41">
        <v>2819</v>
      </c>
      <c r="D16" s="2">
        <v>104691039.58</v>
      </c>
      <c r="E16" s="32">
        <v>1.3899999999999999E-2</v>
      </c>
      <c r="F16" s="8">
        <f t="shared" ref="F16" si="174">+D16/$D$4</f>
        <v>0.93058683394317987</v>
      </c>
      <c r="G16" s="2">
        <v>82845.919999999998</v>
      </c>
      <c r="H16" s="8"/>
      <c r="I16" s="8"/>
      <c r="J16" s="8"/>
      <c r="K16" s="8"/>
      <c r="L16" s="8"/>
      <c r="M16" s="8"/>
      <c r="N16" s="6">
        <f t="shared" ref="N16" si="175">G16/D15</f>
        <v>7.8639300546883158E-4</v>
      </c>
      <c r="O16" s="6">
        <f t="shared" ref="O16" si="176">1-(+N16-1)^12</f>
        <v>9.3960075448709102E-3</v>
      </c>
      <c r="P16" s="40">
        <f t="shared" si="104"/>
        <v>1.4409482828190065E-2</v>
      </c>
      <c r="Q16" s="20">
        <f t="shared" ref="Q16:Q21" si="177">AVERAGE(O11:O16)</f>
        <v>1.448860808699117E-2</v>
      </c>
      <c r="R16" s="20">
        <f t="shared" ref="R16:R21" si="178">AVERAGE(O5:O16)</f>
        <v>1.1134933804137983E-2</v>
      </c>
      <c r="S16" s="20"/>
      <c r="T16" s="26">
        <v>101257426</v>
      </c>
      <c r="U16" s="26">
        <v>1418105</v>
      </c>
      <c r="V16" s="26">
        <v>637086</v>
      </c>
      <c r="W16" s="26">
        <v>798631</v>
      </c>
      <c r="X16" s="26">
        <v>226991</v>
      </c>
      <c r="Y16" s="26">
        <v>162465</v>
      </c>
      <c r="Z16" s="26">
        <v>0</v>
      </c>
      <c r="AA16" s="26">
        <f t="shared" ref="AA16" si="179">AA15+Z16</f>
        <v>270715.48</v>
      </c>
      <c r="AB16" s="4">
        <f t="shared" ref="AB16" si="180">AA16/$D$4</f>
        <v>2.4063593450144266E-3</v>
      </c>
      <c r="AC16" s="2">
        <v>96063960.450000003</v>
      </c>
      <c r="AD16" s="8">
        <f t="shared" ref="AD16" si="181">+AC16/$AC$4</f>
        <v>0.96063960450000008</v>
      </c>
      <c r="AE16" s="2">
        <f t="shared" ref="AE16" si="182">AC16*$AE$2</f>
        <v>85390187.066666663</v>
      </c>
      <c r="AF16" s="2">
        <v>10000000</v>
      </c>
      <c r="AG16" s="8">
        <f t="shared" ref="AG16" si="183">+AF16/$AF$4</f>
        <v>1</v>
      </c>
      <c r="AH16" s="2">
        <v>2500000</v>
      </c>
      <c r="AI16" s="8">
        <f t="shared" ref="AI16" si="184">+AH16/$AH$4</f>
        <v>1</v>
      </c>
      <c r="AJ16" s="8">
        <f t="shared" ref="AJ16" si="185">+AC16/D16</f>
        <v>0.91759486614508601</v>
      </c>
      <c r="AK16" s="2">
        <v>1060710.69</v>
      </c>
      <c r="AL16" s="4">
        <f t="shared" ref="AL16" si="186">((+D16+AK16)-AC16)/D16</f>
        <v>9.2536953103775771E-2</v>
      </c>
      <c r="AM16" s="4">
        <f t="shared" ref="AM16" si="187">+T16/$D16</f>
        <v>0.96720241203282553</v>
      </c>
      <c r="AN16" s="4">
        <f t="shared" ref="AN16" si="188">+U16/$D16</f>
        <v>1.3545619622167859E-2</v>
      </c>
      <c r="AO16" s="4">
        <f t="shared" ref="AO16" si="189">+V16/$D16</f>
        <v>6.0853918592829398E-3</v>
      </c>
      <c r="AP16" s="4">
        <f t="shared" ref="AP16" si="190">+W16/$D16</f>
        <v>7.6284561047817619E-3</v>
      </c>
      <c r="AQ16" s="4">
        <f t="shared" ref="AQ16" si="191">+X16/$D16</f>
        <v>2.1681989300196421E-3</v>
      </c>
      <c r="AR16" s="4">
        <f t="shared" ref="AR16" si="192">+Y16/$D16</f>
        <v>1.5518520080780346E-3</v>
      </c>
      <c r="AS16" s="4">
        <f t="shared" ref="AS16" si="193">+Z16/$D16</f>
        <v>0</v>
      </c>
    </row>
    <row r="17" spans="1:45" x14ac:dyDescent="0.25">
      <c r="A17">
        <f t="shared" si="6"/>
        <v>13</v>
      </c>
      <c r="B17" s="3">
        <f t="shared" si="15"/>
        <v>44903</v>
      </c>
      <c r="C17" s="41">
        <v>2813</v>
      </c>
      <c r="D17" s="2">
        <v>104139265.23</v>
      </c>
      <c r="E17" s="32">
        <v>1.3899999999999999E-2</v>
      </c>
      <c r="F17" s="8">
        <f t="shared" ref="F17" si="194">+D17/$D$4</f>
        <v>0.92568217402693953</v>
      </c>
      <c r="G17" s="2">
        <v>0</v>
      </c>
      <c r="H17" s="8"/>
      <c r="I17" s="8"/>
      <c r="J17" s="8"/>
      <c r="K17" s="8"/>
      <c r="L17" s="8"/>
      <c r="M17" s="8"/>
      <c r="N17" s="6">
        <f t="shared" ref="N17" si="195">G17/D16</f>
        <v>0</v>
      </c>
      <c r="O17" s="6">
        <f t="shared" ref="O17" si="196">1-(+N17-1)^12</f>
        <v>0</v>
      </c>
      <c r="P17" s="40">
        <f t="shared" si="104"/>
        <v>7.8524980339270325E-3</v>
      </c>
      <c r="Q17" s="20">
        <f t="shared" si="177"/>
        <v>1.1869934787291795E-2</v>
      </c>
      <c r="R17" s="20">
        <f t="shared" si="178"/>
        <v>1.0452701380334014E-2</v>
      </c>
      <c r="S17" s="20"/>
      <c r="T17" s="26">
        <v>100181339</v>
      </c>
      <c r="U17" s="26">
        <v>1561386</v>
      </c>
      <c r="V17" s="26">
        <v>987262</v>
      </c>
      <c r="W17" s="26">
        <v>562099</v>
      </c>
      <c r="X17" s="26">
        <v>365270</v>
      </c>
      <c r="Y17" s="26">
        <v>171802</v>
      </c>
      <c r="Z17" s="26">
        <f>37900.04+90049.5</f>
        <v>127949.54000000001</v>
      </c>
      <c r="AA17" s="26">
        <f t="shared" ref="AA17" si="197">AA16+Z17</f>
        <v>398665.02</v>
      </c>
      <c r="AB17" s="4">
        <f t="shared" ref="AB17" si="198">AA17/$D$4</f>
        <v>3.54368836391389E-3</v>
      </c>
      <c r="AC17" s="2">
        <v>95803841.150000006</v>
      </c>
      <c r="AD17" s="8">
        <f t="shared" ref="AD17" si="199">+AC17/$AC$4</f>
        <v>0.95803841150000002</v>
      </c>
      <c r="AE17" s="2">
        <f t="shared" ref="AE17" si="200">AC17*$AE$2</f>
        <v>85158969.911111116</v>
      </c>
      <c r="AF17" s="2">
        <v>10000000</v>
      </c>
      <c r="AG17" s="8">
        <f t="shared" ref="AG17" si="201">+AF17/$AF$4</f>
        <v>1</v>
      </c>
      <c r="AH17" s="2">
        <v>2500000</v>
      </c>
      <c r="AI17" s="8">
        <f t="shared" ref="AI17" si="202">+AH17/$AH$4</f>
        <v>1</v>
      </c>
      <c r="AJ17" s="8">
        <f t="shared" ref="AJ17" si="203">+AC17/D17</f>
        <v>0.91995887371021356</v>
      </c>
      <c r="AK17" s="2">
        <v>1056703.56</v>
      </c>
      <c r="AL17" s="4">
        <f t="shared" ref="AL17" si="204">((+D17+AK17)-AC17)/D17</f>
        <v>9.0188149678766469E-2</v>
      </c>
      <c r="AM17" s="4">
        <f t="shared" ref="AM17" si="205">+T17/$D17</f>
        <v>0.96199391054604999</v>
      </c>
      <c r="AN17" s="4">
        <f t="shared" ref="AN17" si="206">+U17/$D17</f>
        <v>1.499324963116988E-2</v>
      </c>
      <c r="AO17" s="4">
        <f t="shared" ref="AO17" si="207">+V17/$D17</f>
        <v>9.4802090049276987E-3</v>
      </c>
      <c r="AP17" s="4">
        <f t="shared" ref="AP17" si="208">+W17/$D17</f>
        <v>5.3975702513221965E-3</v>
      </c>
      <c r="AQ17" s="4">
        <f t="shared" ref="AQ17" si="209">+X17/$D17</f>
        <v>3.5075146650331325E-3</v>
      </c>
      <c r="AR17" s="4">
        <f t="shared" ref="AR17" si="210">+Y17/$D17</f>
        <v>1.6497331685657794E-3</v>
      </c>
      <c r="AS17" s="4">
        <f t="shared" ref="AS17" si="211">+Z17/$D17</f>
        <v>1.2286387820906273E-3</v>
      </c>
    </row>
    <row r="18" spans="1:45" x14ac:dyDescent="0.25">
      <c r="A18">
        <f t="shared" si="6"/>
        <v>14</v>
      </c>
      <c r="B18" s="3">
        <f t="shared" si="15"/>
        <v>44934</v>
      </c>
      <c r="C18" s="41">
        <v>2802</v>
      </c>
      <c r="D18" s="2">
        <v>103437244.63</v>
      </c>
      <c r="E18" s="32">
        <v>1.4E-2</v>
      </c>
      <c r="F18" s="8">
        <f t="shared" ref="F18" si="212">+D18/$D$4</f>
        <v>0.91944199215332578</v>
      </c>
      <c r="G18" s="2">
        <v>64527.78</v>
      </c>
      <c r="H18" s="8"/>
      <c r="I18" s="8"/>
      <c r="J18" s="8"/>
      <c r="K18" s="8"/>
      <c r="L18" s="8"/>
      <c r="M18" s="8"/>
      <c r="N18" s="6">
        <f t="shared" ref="N18" si="213">G18/D17</f>
        <v>6.1962968393799566E-4</v>
      </c>
      <c r="O18" s="6">
        <f t="shared" ref="O18" si="214">1-(+N18-1)^12</f>
        <v>7.4102683702411687E-3</v>
      </c>
      <c r="P18" s="40">
        <f t="shared" ref="P18:P24" si="215">AVERAGE(O16:O18)</f>
        <v>5.6020919717040263E-3</v>
      </c>
      <c r="Q18" s="20">
        <f t="shared" si="177"/>
        <v>1.0301526113763429E-2</v>
      </c>
      <c r="R18" s="20">
        <f t="shared" si="178"/>
        <v>1.0381489999902275E-2</v>
      </c>
      <c r="S18" s="20"/>
      <c r="T18" s="26">
        <v>99179914</v>
      </c>
      <c r="U18" s="26">
        <v>1823154</v>
      </c>
      <c r="V18" s="26">
        <v>938700</v>
      </c>
      <c r="W18" s="26">
        <v>614489</v>
      </c>
      <c r="X18" s="26">
        <v>262269</v>
      </c>
      <c r="Y18" s="26">
        <v>278828</v>
      </c>
      <c r="Z18" s="26">
        <f>29888.78+37794.23+37370.41</f>
        <v>105053.42000000001</v>
      </c>
      <c r="AA18" s="26">
        <f t="shared" ref="AA18" si="216">AA17+Z18</f>
        <v>503718.44000000006</v>
      </c>
      <c r="AB18" s="4">
        <f t="shared" ref="AB18" si="217">AA18/$D$4</f>
        <v>4.4774963565071676E-3</v>
      </c>
      <c r="AC18" s="2">
        <v>95393777.280000001</v>
      </c>
      <c r="AD18" s="8">
        <f t="shared" ref="AD18" si="218">+AC18/$AC$4</f>
        <v>0.95393777280000003</v>
      </c>
      <c r="AE18" s="2">
        <f t="shared" ref="AE18" si="219">AC18*$AE$2</f>
        <v>84794468.693333328</v>
      </c>
      <c r="AF18" s="2">
        <v>10000000</v>
      </c>
      <c r="AG18" s="8">
        <f t="shared" ref="AG18" si="220">+AF18/$AF$4</f>
        <v>1</v>
      </c>
      <c r="AH18" s="2">
        <v>2500000</v>
      </c>
      <c r="AI18" s="8">
        <f t="shared" ref="AI18" si="221">+AH18/$AH$4</f>
        <v>1</v>
      </c>
      <c r="AJ18" s="8">
        <f t="shared" ref="AJ18" si="222">+AC18/D18</f>
        <v>0.92223819013381625</v>
      </c>
      <c r="AK18" s="2">
        <v>1053842.25</v>
      </c>
      <c r="AL18" s="4">
        <f t="shared" ref="AL18" si="223">((+D18+AK18)-AC18)/D18</f>
        <v>8.7950038040374226E-2</v>
      </c>
      <c r="AM18" s="4">
        <f t="shared" ref="AM18" si="224">+T18/$D18</f>
        <v>0.95884141495426845</v>
      </c>
      <c r="AN18" s="4">
        <f t="shared" ref="AN18" si="225">+U18/$D18</f>
        <v>1.7625701520970611E-2</v>
      </c>
      <c r="AO18" s="4">
        <f t="shared" ref="AO18" si="226">+V18/$D18</f>
        <v>9.0750677220548075E-3</v>
      </c>
      <c r="AP18" s="4">
        <f t="shared" ref="AP18" si="227">+W18/$D18</f>
        <v>5.940693820664469E-3</v>
      </c>
      <c r="AQ18" s="4">
        <f t="shared" ref="AQ18" si="228">+X18/$D18</f>
        <v>2.5355373776452463E-3</v>
      </c>
      <c r="AR18" s="4">
        <f t="shared" ref="AR18" si="229">+Y18/$D18</f>
        <v>2.6956247819378909E-3</v>
      </c>
      <c r="AS18" s="4">
        <f t="shared" ref="AS18" si="230">+Z18/$D18</f>
        <v>1.0156246947197903E-3</v>
      </c>
    </row>
    <row r="19" spans="1:45" x14ac:dyDescent="0.25">
      <c r="A19">
        <f t="shared" si="6"/>
        <v>15</v>
      </c>
      <c r="B19" s="3">
        <f t="shared" si="15"/>
        <v>44965</v>
      </c>
      <c r="C19" s="41">
        <v>2796</v>
      </c>
      <c r="D19" s="2">
        <v>102756356.75</v>
      </c>
      <c r="E19" s="32">
        <v>1.4200000000000001E-2</v>
      </c>
      <c r="F19" s="8">
        <f t="shared" ref="F19" si="231">+D19/$D$4</f>
        <v>0.91338965664246008</v>
      </c>
      <c r="G19" s="2">
        <v>0</v>
      </c>
      <c r="H19" s="8"/>
      <c r="I19" s="8"/>
      <c r="J19" s="8"/>
      <c r="K19" s="8"/>
      <c r="L19" s="8"/>
      <c r="M19" s="8"/>
      <c r="N19" s="6">
        <f t="shared" ref="N19" si="232">G19/D18</f>
        <v>0</v>
      </c>
      <c r="O19" s="6">
        <f t="shared" ref="O19" si="233">1-(+N19-1)^12</f>
        <v>0</v>
      </c>
      <c r="P19" s="40">
        <f t="shared" si="215"/>
        <v>2.4700894567470564E-3</v>
      </c>
      <c r="Q19" s="20">
        <f t="shared" si="177"/>
        <v>8.4397861424685607E-3</v>
      </c>
      <c r="R19" s="20">
        <f t="shared" si="178"/>
        <v>1.0381489999902275E-2</v>
      </c>
      <c r="S19" s="11">
        <v>1178750.6000000001</v>
      </c>
      <c r="T19" s="26">
        <v>97992021</v>
      </c>
      <c r="U19" s="26">
        <v>2512880</v>
      </c>
      <c r="V19" s="26">
        <v>850826</v>
      </c>
      <c r="W19" s="26">
        <v>374711</v>
      </c>
      <c r="X19" s="26">
        <v>290909</v>
      </c>
      <c r="Y19" s="26">
        <v>294324</v>
      </c>
      <c r="Z19" s="26">
        <f>53475.17+30492.82+26333.72+37119.4+67098.63</f>
        <v>214519.74</v>
      </c>
      <c r="AA19" s="26">
        <f t="shared" ref="AA19" si="234">AA18+Z19</f>
        <v>718238.18</v>
      </c>
      <c r="AB19" s="4">
        <f t="shared" ref="AB19" si="235">AA19/$D$4</f>
        <v>6.3843381116925934E-3</v>
      </c>
      <c r="AC19" s="2">
        <v>95000577.530000001</v>
      </c>
      <c r="AD19" s="8">
        <f t="shared" ref="AD19" si="236">+AC19/$AC$4</f>
        <v>0.95000577529999997</v>
      </c>
      <c r="AE19" s="2">
        <f t="shared" ref="AE19" si="237">AC19*$AE$2</f>
        <v>84444957.804444447</v>
      </c>
      <c r="AF19" s="2">
        <v>10000000</v>
      </c>
      <c r="AG19" s="8">
        <f t="shared" ref="AG19" si="238">+AF19/$AF$4</f>
        <v>1</v>
      </c>
      <c r="AH19" s="2">
        <v>2500000</v>
      </c>
      <c r="AI19" s="8">
        <f t="shared" ref="AI19" si="239">+AH19/$AH$4</f>
        <v>1</v>
      </c>
      <c r="AJ19" s="8">
        <f t="shared" ref="AJ19" si="240">+AC19/D19</f>
        <v>0.92452263329197881</v>
      </c>
      <c r="AK19" s="2">
        <v>1049331.54</v>
      </c>
      <c r="AL19" s="4">
        <f t="shared" ref="AL19" si="241">((+D19+AK19)-AC19)/D19</f>
        <v>8.5689207349208651E-2</v>
      </c>
      <c r="AM19" s="4">
        <f t="shared" ref="AM19" si="242">+T19/$D19</f>
        <v>0.9536346373043243</v>
      </c>
      <c r="AN19" s="4">
        <f t="shared" ref="AN19" si="243">+U19/$D19</f>
        <v>2.4454740120007222E-2</v>
      </c>
      <c r="AO19" s="4">
        <f t="shared" ref="AO19" si="244">+V19/$D19</f>
        <v>8.2800327581680246E-3</v>
      </c>
      <c r="AP19" s="4">
        <f t="shared" ref="AP19" si="245">+W19/$D19</f>
        <v>3.6465967834150561E-3</v>
      </c>
      <c r="AQ19" s="4">
        <f t="shared" ref="AQ19" si="246">+X19/$D19</f>
        <v>2.8310559969322775E-3</v>
      </c>
      <c r="AR19" s="4">
        <f t="shared" ref="AR19" si="247">+Y19/$D19</f>
        <v>2.8642899506068757E-3</v>
      </c>
      <c r="AS19" s="4">
        <f t="shared" ref="AS19" si="248">+Z19/$D19</f>
        <v>2.0876542024734638E-3</v>
      </c>
    </row>
    <row r="20" spans="1:45" x14ac:dyDescent="0.25">
      <c r="A20">
        <f t="shared" si="6"/>
        <v>16</v>
      </c>
      <c r="B20" s="3">
        <f t="shared" si="15"/>
        <v>44996</v>
      </c>
      <c r="C20" s="41">
        <v>2788</v>
      </c>
      <c r="D20" s="2">
        <v>102097454.45</v>
      </c>
      <c r="E20" s="32">
        <v>1.4200000000000001E-2</v>
      </c>
      <c r="F20" s="8">
        <f t="shared" ref="F20" si="249">+D20/$D$4</f>
        <v>0.90753274847061671</v>
      </c>
      <c r="G20" s="2">
        <v>757.46</v>
      </c>
      <c r="H20" s="8"/>
      <c r="I20" s="8"/>
      <c r="J20" s="8"/>
      <c r="K20" s="8"/>
      <c r="L20" s="8"/>
      <c r="M20" s="8"/>
      <c r="N20" s="6">
        <f t="shared" ref="N20" si="250">G20/D19</f>
        <v>7.3714174378803094E-6</v>
      </c>
      <c r="O20" s="6">
        <f t="shared" ref="O20" si="251">1-(+N20-1)^12</f>
        <v>8.8453423048640012E-5</v>
      </c>
      <c r="P20" s="40">
        <f t="shared" si="215"/>
        <v>2.4995739310966028E-3</v>
      </c>
      <c r="Q20" s="20">
        <f t="shared" si="177"/>
        <v>5.1760359825118174E-3</v>
      </c>
      <c r="R20" s="20">
        <f t="shared" si="178"/>
        <v>9.1281934086742036E-3</v>
      </c>
      <c r="S20" s="11"/>
      <c r="T20" s="26">
        <v>96755096</v>
      </c>
      <c r="U20" s="26">
        <v>2474533</v>
      </c>
      <c r="V20" s="26">
        <v>1453835</v>
      </c>
      <c r="W20" s="26">
        <v>501930</v>
      </c>
      <c r="X20" s="26">
        <v>232307</v>
      </c>
      <c r="Y20" s="26">
        <v>186029</v>
      </c>
      <c r="Z20" s="26">
        <v>26937.72</v>
      </c>
      <c r="AA20" s="26">
        <f t="shared" ref="AA20" si="252">AA19+Z20</f>
        <v>745175.9</v>
      </c>
      <c r="AB20" s="4">
        <f t="shared" ref="AB20" si="253">AA20/$D$4</f>
        <v>6.6237844642077206E-3</v>
      </c>
      <c r="AC20" s="2">
        <v>93460333.480000004</v>
      </c>
      <c r="AD20" s="8">
        <f t="shared" ref="AD20" si="254">+AC20/$AC$4</f>
        <v>0.93460333480000002</v>
      </c>
      <c r="AE20" s="2">
        <f t="shared" ref="AE20" si="255">AC20*$AE$2</f>
        <v>83075851.982222214</v>
      </c>
      <c r="AF20" s="2">
        <v>10000000</v>
      </c>
      <c r="AG20" s="8">
        <f t="shared" ref="AG20" si="256">+AF20/$AF$4</f>
        <v>1</v>
      </c>
      <c r="AH20" s="2">
        <v>2500000</v>
      </c>
      <c r="AI20" s="8">
        <f t="shared" ref="AI20" si="257">+AH20/$AH$4</f>
        <v>1</v>
      </c>
      <c r="AJ20" s="8">
        <f t="shared" ref="AJ20" si="258">+AC20/D20</f>
        <v>0.91540317026973639</v>
      </c>
      <c r="AK20" s="2">
        <v>1045006.35</v>
      </c>
      <c r="AL20" s="4">
        <f t="shared" ref="AL20" si="259">((+D20+AK20)-AC20)/D20</f>
        <v>9.4832210775064943E-2</v>
      </c>
      <c r="AM20" s="4">
        <f t="shared" ref="AM20" si="260">+T20/$D20</f>
        <v>0.94767393096351582</v>
      </c>
      <c r="AN20" s="4">
        <f t="shared" ref="AN20" si="261">+U20/$D20</f>
        <v>2.4236970581983007E-2</v>
      </c>
      <c r="AO20" s="4">
        <f t="shared" ref="AO20" si="262">+V20/$D20</f>
        <v>1.4239679214646668E-2</v>
      </c>
      <c r="AP20" s="4">
        <f t="shared" ref="AP20" si="263">+W20/$D20</f>
        <v>4.9161852536275452E-3</v>
      </c>
      <c r="AQ20" s="4">
        <f t="shared" ref="AQ20" si="264">+X20/$D20</f>
        <v>2.2753456611767659E-3</v>
      </c>
      <c r="AR20" s="4">
        <f t="shared" ref="AR20" si="265">+Y20/$D20</f>
        <v>1.8220728518858777E-3</v>
      </c>
      <c r="AS20" s="4">
        <f t="shared" ref="AS20" si="266">+Z20/$D20</f>
        <v>2.6384320887444025E-4</v>
      </c>
    </row>
    <row r="21" spans="1:45" x14ac:dyDescent="0.25">
      <c r="A21">
        <f t="shared" si="6"/>
        <v>17</v>
      </c>
      <c r="B21" s="3">
        <f t="shared" si="15"/>
        <v>45027</v>
      </c>
      <c r="C21" s="41">
        <v>2781</v>
      </c>
      <c r="D21" s="2">
        <v>101315461.04000001</v>
      </c>
      <c r="E21" s="32">
        <v>1.4200000000000001E-2</v>
      </c>
      <c r="F21" s="8">
        <f t="shared" ref="F21" si="267">+D21/$D$4</f>
        <v>0.9005816973157541</v>
      </c>
      <c r="G21" s="2">
        <v>64817.21</v>
      </c>
      <c r="H21" s="8"/>
      <c r="I21" s="8"/>
      <c r="J21" s="8"/>
      <c r="K21" s="8"/>
      <c r="L21" s="8"/>
      <c r="M21" s="8"/>
      <c r="N21" s="6">
        <f t="shared" ref="N21" si="268">G21/D20</f>
        <v>6.3485627873065937E-4</v>
      </c>
      <c r="O21" s="6">
        <f t="shared" ref="O21" si="269">1-(+N21-1)^12</f>
        <v>7.5917307520861899E-3</v>
      </c>
      <c r="P21" s="40">
        <f t="shared" si="215"/>
        <v>2.56006139171161E-3</v>
      </c>
      <c r="Q21" s="20">
        <f t="shared" si="177"/>
        <v>4.0810766817078181E-3</v>
      </c>
      <c r="R21" s="20">
        <f t="shared" si="178"/>
        <v>9.1480527524794662E-3</v>
      </c>
      <c r="S21" s="11"/>
      <c r="T21" s="26">
        <v>96432249</v>
      </c>
      <c r="U21" s="26">
        <v>2053314</v>
      </c>
      <c r="V21" s="26">
        <v>990610</v>
      </c>
      <c r="W21" s="26">
        <v>826833</v>
      </c>
      <c r="X21" s="26">
        <v>334654</v>
      </c>
      <c r="Y21" s="26">
        <v>144551</v>
      </c>
      <c r="Z21" s="26">
        <f>38046.47+38616.23</f>
        <v>76662.700000000012</v>
      </c>
      <c r="AA21" s="26">
        <f t="shared" ref="AA21" si="270">AA20+Z21</f>
        <v>821838.60000000009</v>
      </c>
      <c r="AB21" s="4">
        <f t="shared" ref="AB21" si="271">AA21/$D$4</f>
        <v>7.3052305512916133E-3</v>
      </c>
      <c r="AC21" s="2">
        <v>92954015.150000006</v>
      </c>
      <c r="AD21" s="8">
        <f t="shared" ref="AD21" si="272">+AC21/$AC$4</f>
        <v>0.92954015150000002</v>
      </c>
      <c r="AE21" s="2">
        <f t="shared" ref="AE21" si="273">AC21*$AE$2</f>
        <v>82625791.244444445</v>
      </c>
      <c r="AF21" s="2">
        <v>10000000</v>
      </c>
      <c r="AG21" s="8">
        <f t="shared" ref="AG21" si="274">+AF21/$AF$4</f>
        <v>1</v>
      </c>
      <c r="AH21" s="2">
        <v>2500000</v>
      </c>
      <c r="AI21" s="8">
        <f t="shared" ref="AI21" si="275">+AH21/$AH$4</f>
        <v>1</v>
      </c>
      <c r="AJ21" s="8">
        <f t="shared" ref="AJ21" si="276">+AC21/D21</f>
        <v>0.91747117563133973</v>
      </c>
      <c r="AK21" s="2">
        <v>1028063.87</v>
      </c>
      <c r="AL21" s="4">
        <f t="shared" ref="AL21" si="277">((+D21+AK21)-AC21)/D21</f>
        <v>9.2675981174215508E-2</v>
      </c>
      <c r="AM21" s="4">
        <f t="shared" ref="AM21" si="278">+T21/$D21</f>
        <v>0.95180190673887288</v>
      </c>
      <c r="AN21" s="4">
        <f t="shared" ref="AN21" si="279">+U21/$D21</f>
        <v>2.0266541541861395E-2</v>
      </c>
      <c r="AO21" s="4">
        <f t="shared" ref="AO21" si="280">+V21/$D21</f>
        <v>9.7774810461445823E-3</v>
      </c>
      <c r="AP21" s="4">
        <f t="shared" ref="AP21" si="281">+W21/$D21</f>
        <v>8.160975546205736E-3</v>
      </c>
      <c r="AQ21" s="4">
        <f t="shared" ref="AQ21" si="282">+X21/$D21</f>
        <v>3.3030891491267695E-3</v>
      </c>
      <c r="AR21" s="4">
        <f t="shared" ref="AR21" si="283">+Y21/$D21</f>
        <v>1.4267417679018439E-3</v>
      </c>
      <c r="AS21" s="4">
        <f t="shared" ref="AS21" si="284">+Z21/$D21</f>
        <v>7.5667325808973103E-4</v>
      </c>
    </row>
    <row r="22" spans="1:45" x14ac:dyDescent="0.25">
      <c r="A22">
        <f t="shared" si="6"/>
        <v>18</v>
      </c>
      <c r="B22" s="3">
        <f t="shared" si="15"/>
        <v>45058</v>
      </c>
      <c r="C22" s="41">
        <v>2772</v>
      </c>
      <c r="D22" s="2">
        <v>100575521.29000001</v>
      </c>
      <c r="E22" s="32">
        <v>1.4200000000000001E-2</v>
      </c>
      <c r="F22" s="8">
        <f t="shared" ref="F22" si="285">+D22/$D$4</f>
        <v>0.89400445639787185</v>
      </c>
      <c r="G22" s="2">
        <v>80274.16</v>
      </c>
      <c r="H22" s="8"/>
      <c r="I22" s="8"/>
      <c r="J22" s="8"/>
      <c r="K22" s="8"/>
      <c r="L22" s="8"/>
      <c r="M22" s="8"/>
      <c r="N22" s="6">
        <f t="shared" ref="N22" si="286">G22/D21</f>
        <v>7.9231895286255706E-4</v>
      </c>
      <c r="O22" s="6">
        <f t="shared" ref="O22" si="287">1-(+N22-1)^12</f>
        <v>9.466503890776079E-3</v>
      </c>
      <c r="P22" s="40">
        <f t="shared" si="215"/>
        <v>5.7155626886369699E-3</v>
      </c>
      <c r="Q22" s="20">
        <f t="shared" ref="Q22" si="288">AVERAGE(O17:O22)</f>
        <v>4.0928260726920129E-3</v>
      </c>
      <c r="R22" s="20">
        <f t="shared" ref="R22" si="289">AVERAGE(O11:O22)</f>
        <v>9.2907170798415904E-3</v>
      </c>
      <c r="S22" s="11"/>
      <c r="T22" s="26">
        <v>95444000</v>
      </c>
      <c r="U22" s="26">
        <v>2134821</v>
      </c>
      <c r="V22" s="26">
        <v>983487</v>
      </c>
      <c r="W22" s="26">
        <v>734116</v>
      </c>
      <c r="X22" s="26">
        <v>468583</v>
      </c>
      <c r="Y22" s="26">
        <v>232722</v>
      </c>
      <c r="Z22" s="26">
        <f>35677.36+35879.82</f>
        <v>71557.179999999993</v>
      </c>
      <c r="AA22" s="26">
        <f t="shared" ref="AA22" si="290">AA21+Z22</f>
        <v>893395.78</v>
      </c>
      <c r="AB22" s="4">
        <f t="shared" ref="AB22" si="291">AA22/$D$4</f>
        <v>7.941294247375337E-3</v>
      </c>
      <c r="AC22" s="2">
        <v>92506791.269999996</v>
      </c>
      <c r="AD22" s="8">
        <f t="shared" ref="AD22" si="292">+AC22/$AC$4</f>
        <v>0.92506791269999999</v>
      </c>
      <c r="AE22" s="2">
        <f t="shared" ref="AE22" si="293">AC22*$AE$2</f>
        <v>82228258.906666651</v>
      </c>
      <c r="AF22" s="2">
        <v>10000000</v>
      </c>
      <c r="AG22" s="8">
        <f t="shared" ref="AG22" si="294">+AF22/$AF$4</f>
        <v>1</v>
      </c>
      <c r="AH22" s="2">
        <v>2500000</v>
      </c>
      <c r="AI22" s="8">
        <f t="shared" ref="AI22" si="295">+AH22/$AH$4</f>
        <v>1</v>
      </c>
      <c r="AJ22" s="8">
        <f t="shared" ref="AJ22" si="296">+AC22/D22</f>
        <v>0.91977441512100555</v>
      </c>
      <c r="AK22" s="2">
        <v>1022494.17</v>
      </c>
      <c r="AL22" s="4">
        <f t="shared" ref="AL22" si="297">((+D22+AK22)-AC22)/D22</f>
        <v>9.0392016600006744E-2</v>
      </c>
      <c r="AM22" s="4">
        <f t="shared" ref="AM22" si="298">+T22/$D22</f>
        <v>0.94897842711444913</v>
      </c>
      <c r="AN22" s="4">
        <f t="shared" ref="AN22" si="299">+U22/$D22</f>
        <v>2.1226049565723309E-2</v>
      </c>
      <c r="AO22" s="4">
        <f t="shared" ref="AO22" si="300">+V22/$D22</f>
        <v>9.7785921204843491E-3</v>
      </c>
      <c r="AP22" s="4">
        <f t="shared" ref="AP22" si="301">+W22/$D22</f>
        <v>7.2991518272447816E-3</v>
      </c>
      <c r="AQ22" s="4">
        <f t="shared" ref="AQ22" si="302">+X22/$D22</f>
        <v>4.6590163688924385E-3</v>
      </c>
      <c r="AR22" s="4">
        <f t="shared" ref="AR22" si="303">+Y22/$D22</f>
        <v>2.3139029956302003E-3</v>
      </c>
      <c r="AS22" s="4">
        <f t="shared" ref="AS22" si="304">+Z22/$D22</f>
        <v>7.1147709782852259E-4</v>
      </c>
    </row>
    <row r="23" spans="1:45" x14ac:dyDescent="0.25">
      <c r="A23">
        <f t="shared" si="6"/>
        <v>19</v>
      </c>
      <c r="B23" s="3">
        <f t="shared" si="15"/>
        <v>45089</v>
      </c>
      <c r="C23" s="41">
        <v>2763</v>
      </c>
      <c r="D23" s="2">
        <v>99828199.980000004</v>
      </c>
      <c r="E23" s="32">
        <v>1.43E-2</v>
      </c>
      <c r="F23" s="8">
        <f t="shared" ref="F23" si="305">+D23/$D$4</f>
        <v>0.88736160162633482</v>
      </c>
      <c r="G23" s="2">
        <v>75122.2</v>
      </c>
      <c r="H23" s="8"/>
      <c r="I23" s="8"/>
      <c r="J23" s="8"/>
      <c r="K23" s="8"/>
      <c r="L23" s="8"/>
      <c r="M23" s="8"/>
      <c r="N23" s="6">
        <f t="shared" ref="N23" si="306">G23/D22</f>
        <v>7.4692329740347287E-4</v>
      </c>
      <c r="O23" s="6">
        <f t="shared" ref="O23" si="307">1-(+N23-1)^12</f>
        <v>8.9263500587062339E-3</v>
      </c>
      <c r="P23" s="40">
        <f t="shared" si="215"/>
        <v>8.661528233856167E-3</v>
      </c>
      <c r="Q23" s="20">
        <f t="shared" ref="Q23" si="308">AVERAGE(O18:O23)</f>
        <v>5.5805510824763855E-3</v>
      </c>
      <c r="R23" s="20">
        <f t="shared" ref="R23:R28" si="309">AVERAGE(O12:O23)</f>
        <v>8.7252429348840897E-3</v>
      </c>
      <c r="S23" s="11"/>
      <c r="T23" s="26">
        <v>94391591</v>
      </c>
      <c r="U23" s="26">
        <v>2413957</v>
      </c>
      <c r="V23" s="26">
        <v>1186676</v>
      </c>
      <c r="W23" s="26">
        <v>559648</v>
      </c>
      <c r="X23" s="26">
        <v>303694</v>
      </c>
      <c r="Y23" s="26">
        <v>296768</v>
      </c>
      <c r="Z23" s="26">
        <f>33358.24+64769.09</f>
        <v>98127.329999999987</v>
      </c>
      <c r="AA23" s="26">
        <f t="shared" ref="AA23" si="310">AA22+Z23</f>
        <v>991523.11</v>
      </c>
      <c r="AB23" s="4">
        <f t="shared" ref="AB23" si="311">AA23/$D$4</f>
        <v>8.8135370077332392E-3</v>
      </c>
      <c r="AC23" s="2">
        <v>92036562.909999996</v>
      </c>
      <c r="AD23" s="8">
        <f t="shared" ref="AD23" si="312">+AC23/$AC$4</f>
        <v>0.92036562909999997</v>
      </c>
      <c r="AE23" s="2">
        <f t="shared" ref="AE23" si="313">AC23*$AE$2</f>
        <v>81810278.142222211</v>
      </c>
      <c r="AF23" s="2">
        <v>10000000</v>
      </c>
      <c r="AG23" s="8">
        <f t="shared" ref="AG23" si="314">+AF23/$AF$4</f>
        <v>1</v>
      </c>
      <c r="AH23" s="2">
        <v>2500000</v>
      </c>
      <c r="AI23" s="8">
        <f t="shared" ref="AI23" si="315">+AH23/$AH$4</f>
        <v>1</v>
      </c>
      <c r="AJ23" s="8">
        <f t="shared" ref="AJ23" si="316">+AC23/D23</f>
        <v>0.92194953859169038</v>
      </c>
      <c r="AK23" s="2">
        <v>1017574.71</v>
      </c>
      <c r="AL23" s="4">
        <f t="shared" ref="AL23" si="317">((+D23+AK23)-AC23)/D23</f>
        <v>8.8243720529518468E-2</v>
      </c>
      <c r="AM23" s="4">
        <f t="shared" ref="AM23" si="318">+T23/$D23</f>
        <v>0.94554034850784452</v>
      </c>
      <c r="AN23" s="4">
        <f t="shared" ref="AN23" si="319">+U23/$D23</f>
        <v>2.418111315724036E-2</v>
      </c>
      <c r="AO23" s="4">
        <f t="shared" ref="AO23" si="320">+V23/$D23</f>
        <v>1.1887182181365022E-2</v>
      </c>
      <c r="AP23" s="4">
        <f t="shared" ref="AP23" si="321">+W23/$D23</f>
        <v>5.6061113003351981E-3</v>
      </c>
      <c r="AQ23" s="4">
        <f t="shared" ref="AQ23" si="322">+X23/$D23</f>
        <v>3.0421664425567458E-3</v>
      </c>
      <c r="AR23" s="4">
        <f t="shared" ref="AR23" si="323">+Y23/$D23</f>
        <v>2.9727872490884913E-3</v>
      </c>
      <c r="AS23" s="4">
        <f t="shared" ref="AS23" si="324">+Z23/$D23</f>
        <v>9.8296202896234965E-4</v>
      </c>
    </row>
    <row r="24" spans="1:45" x14ac:dyDescent="0.25">
      <c r="A24">
        <f t="shared" si="6"/>
        <v>20</v>
      </c>
      <c r="B24" s="3">
        <f t="shared" si="15"/>
        <v>45120</v>
      </c>
      <c r="C24" s="41">
        <v>2757</v>
      </c>
      <c r="D24" s="2">
        <v>99200678.939999998</v>
      </c>
      <c r="E24" s="32">
        <v>1.61E-2</v>
      </c>
      <c r="F24" s="8">
        <f t="shared" ref="F24" si="325">+D24/$D$4</f>
        <v>0.88178363793250691</v>
      </c>
      <c r="G24" s="2">
        <v>35190.129999999997</v>
      </c>
      <c r="H24" s="8"/>
      <c r="I24" s="8"/>
      <c r="J24" s="8"/>
      <c r="K24" s="8"/>
      <c r="L24" s="8"/>
      <c r="M24" s="8"/>
      <c r="N24" s="6">
        <f t="shared" ref="N24" si="326">G24/D23</f>
        <v>3.5250690693661846E-4</v>
      </c>
      <c r="O24" s="6">
        <f t="shared" ref="O24" si="327">1-(+N24-1)^12</f>
        <v>4.2218912783570373E-3</v>
      </c>
      <c r="P24" s="40">
        <f t="shared" si="215"/>
        <v>7.5382484092797837E-3</v>
      </c>
      <c r="Q24" s="20">
        <f t="shared" ref="Q24" si="328">AVERAGE(O19:O24)</f>
        <v>5.0491549004956964E-3</v>
      </c>
      <c r="R24" s="20">
        <f t="shared" si="309"/>
        <v>7.6753405071295633E-3</v>
      </c>
      <c r="S24" s="11"/>
      <c r="T24" s="26">
        <v>93688350</v>
      </c>
      <c r="U24" s="26">
        <v>2170041</v>
      </c>
      <c r="V24" s="26">
        <v>1391188</v>
      </c>
      <c r="W24" s="26">
        <v>687988</v>
      </c>
      <c r="X24" s="26">
        <v>310281</v>
      </c>
      <c r="Y24" s="26">
        <v>136652</v>
      </c>
      <c r="Z24" s="26">
        <f>27555.9+42046.72+63712.36</f>
        <v>133314.97999999998</v>
      </c>
      <c r="AA24" s="26">
        <f t="shared" ref="AA24" si="329">AA23+Z24</f>
        <v>1124838.0899999999</v>
      </c>
      <c r="AB24" s="4">
        <f t="shared" ref="AB24" si="330">AA24/$D$4</f>
        <v>9.9985588171746902E-3</v>
      </c>
      <c r="AC24" s="2">
        <v>91693666.109999999</v>
      </c>
      <c r="AD24" s="8">
        <f t="shared" ref="AD24" si="331">+AC24/$AC$4</f>
        <v>0.91693666109999994</v>
      </c>
      <c r="AE24" s="2">
        <f t="shared" ref="AE24" si="332">AC24*$AE$2</f>
        <v>81505480.986666664</v>
      </c>
      <c r="AF24" s="2">
        <v>10000000</v>
      </c>
      <c r="AG24" s="8">
        <f t="shared" ref="AG24" si="333">+AF24/$AF$4</f>
        <v>1</v>
      </c>
      <c r="AH24" s="2">
        <v>2500000</v>
      </c>
      <c r="AI24" s="8">
        <f t="shared" ref="AI24" si="334">+AH24/$AH$4</f>
        <v>1</v>
      </c>
      <c r="AJ24" s="8">
        <f t="shared" ref="AJ24" si="335">+AC24/D24</f>
        <v>0.92432498537091168</v>
      </c>
      <c r="AK24" s="2">
        <v>1012402.2</v>
      </c>
      <c r="AL24" s="4">
        <f t="shared" ref="AL24" si="336">((+D24+AK24)-AC24)/D24</f>
        <v>8.5880612119125094E-2</v>
      </c>
      <c r="AM24" s="4">
        <f t="shared" ref="AM24" si="337">+T24/$D24</f>
        <v>0.94443254825570255</v>
      </c>
      <c r="AN24" s="4">
        <f t="shared" ref="AN24" si="338">+U24/$D24</f>
        <v>2.1875263588795758E-2</v>
      </c>
      <c r="AO24" s="4">
        <f t="shared" ref="AO24" si="339">+V24/$D24</f>
        <v>1.4023976598400488E-2</v>
      </c>
      <c r="AP24" s="4">
        <f t="shared" ref="AP24" si="340">+W24/$D24</f>
        <v>6.935315436864287E-3</v>
      </c>
      <c r="AQ24" s="4">
        <f t="shared" ref="AQ24" si="341">+X24/$D24</f>
        <v>3.1278112540708385E-3</v>
      </c>
      <c r="AR24" s="4">
        <f t="shared" ref="AR24" si="342">+Y24/$D24</f>
        <v>1.3775308945481297E-3</v>
      </c>
      <c r="AS24" s="4">
        <f t="shared" ref="AS24" si="343">+Z24/$D24</f>
        <v>1.3438918102630477E-3</v>
      </c>
    </row>
    <row r="25" spans="1:45" x14ac:dyDescent="0.25">
      <c r="A25">
        <f t="shared" si="6"/>
        <v>21</v>
      </c>
      <c r="B25" s="3">
        <f t="shared" si="15"/>
        <v>45151</v>
      </c>
      <c r="C25" s="41">
        <v>2749</v>
      </c>
      <c r="D25" s="2">
        <v>98501850.700000003</v>
      </c>
      <c r="E25" s="32">
        <v>1.61E-2</v>
      </c>
      <c r="F25" s="8">
        <f t="shared" ref="F25" si="344">+D25/$D$4</f>
        <v>0.87557183258659921</v>
      </c>
      <c r="G25" s="2">
        <v>72674.87</v>
      </c>
      <c r="H25" s="8"/>
      <c r="I25" s="8"/>
      <c r="J25" s="8"/>
      <c r="K25" s="8"/>
      <c r="L25" s="8"/>
      <c r="M25" s="8"/>
      <c r="N25" s="6">
        <f t="shared" ref="N25" si="345">G25/D24</f>
        <v>7.3260456255502316E-4</v>
      </c>
      <c r="O25" s="6">
        <f t="shared" ref="O25" si="346">1-(+N25-1)^12</f>
        <v>8.7559182879366482E-3</v>
      </c>
      <c r="P25" s="40">
        <f t="shared" ref="P25" si="347">AVERAGE(O23:O25)</f>
        <v>7.3013865416666395E-3</v>
      </c>
      <c r="Q25" s="20">
        <f t="shared" ref="Q25" si="348">AVERAGE(O20:O25)</f>
        <v>6.5084746151518047E-3</v>
      </c>
      <c r="R25" s="20">
        <f t="shared" si="309"/>
        <v>7.4741303788101827E-3</v>
      </c>
      <c r="S25" s="11">
        <v>2027860.75</v>
      </c>
      <c r="T25" s="26">
        <v>92737689</v>
      </c>
      <c r="U25" s="26">
        <v>2526285</v>
      </c>
      <c r="V25" s="26">
        <v>1009630</v>
      </c>
      <c r="W25" s="26">
        <v>750166</v>
      </c>
      <c r="X25" s="26">
        <v>395866</v>
      </c>
      <c r="Y25" s="26">
        <v>269754</v>
      </c>
      <c r="Z25" s="26">
        <v>72034.81</v>
      </c>
      <c r="AA25" s="26">
        <f t="shared" ref="AA25" si="349">AA24+Z25</f>
        <v>1196872.8999999999</v>
      </c>
      <c r="AB25" s="4">
        <f t="shared" ref="AB25" si="350">AA25/$D$4</f>
        <v>1.0638868112416464E-2</v>
      </c>
      <c r="AC25" s="2">
        <v>91294613.799999997</v>
      </c>
      <c r="AD25" s="8">
        <f t="shared" ref="AD25" si="351">+AC25/$AC$4</f>
        <v>0.91294613800000002</v>
      </c>
      <c r="AE25" s="2">
        <f t="shared" ref="AE25" si="352">AC25*$AE$2</f>
        <v>81150767.822222218</v>
      </c>
      <c r="AF25" s="2">
        <v>10000000</v>
      </c>
      <c r="AG25" s="8">
        <f t="shared" ref="AG25" si="353">+AF25/$AF$4</f>
        <v>1</v>
      </c>
      <c r="AH25" s="2">
        <v>2500000</v>
      </c>
      <c r="AI25" s="8">
        <f t="shared" ref="AI25" si="354">+AH25/$AH$4</f>
        <v>1</v>
      </c>
      <c r="AJ25" s="8">
        <f t="shared" ref="AJ25" si="355">+AC25/D25</f>
        <v>0.92683145698500058</v>
      </c>
      <c r="AK25" s="2">
        <v>1065938.8799999999</v>
      </c>
      <c r="AL25" s="4">
        <f t="shared" ref="AL25" si="356">((+D25+AK25)-AC25)/D25</f>
        <v>8.3990054209204829E-2</v>
      </c>
      <c r="AM25" s="4">
        <f t="shared" ref="AM25" si="357">+T25/$D25</f>
        <v>0.94148169136887083</v>
      </c>
      <c r="AN25" s="4">
        <f t="shared" ref="AN25" si="358">+U25/$D25</f>
        <v>2.5647081573057184E-2</v>
      </c>
      <c r="AO25" s="4">
        <f t="shared" ref="AO25" si="359">+V25/$D25</f>
        <v>1.0249858178552984E-2</v>
      </c>
      <c r="AP25" s="4">
        <f t="shared" ref="AP25" si="360">+W25/$D25</f>
        <v>7.6157553860051481E-3</v>
      </c>
      <c r="AQ25" s="4">
        <f t="shared" ref="AQ25" si="361">+X25/$D25</f>
        <v>4.0188686525866463E-3</v>
      </c>
      <c r="AR25" s="4">
        <f t="shared" ref="AR25" si="362">+Y25/$D25</f>
        <v>2.7385678348477971E-3</v>
      </c>
      <c r="AS25" s="4">
        <f t="shared" ref="AS25" si="363">+Z25/$D25</f>
        <v>7.3130412766955245E-4</v>
      </c>
    </row>
    <row r="26" spans="1:45" x14ac:dyDescent="0.25">
      <c r="A26">
        <f t="shared" si="6"/>
        <v>22</v>
      </c>
      <c r="B26" s="3">
        <f t="shared" si="15"/>
        <v>45182</v>
      </c>
      <c r="C26" s="41">
        <v>2744</v>
      </c>
      <c r="D26" s="2">
        <v>98068055.739999995</v>
      </c>
      <c r="E26" s="32">
        <v>1.61E-2</v>
      </c>
      <c r="F26" s="8">
        <f t="shared" ref="F26" si="364">+D26/$D$4</f>
        <v>0.87171587815127782</v>
      </c>
      <c r="G26" s="2">
        <v>55921.599999999999</v>
      </c>
      <c r="H26" s="8"/>
      <c r="I26" s="8"/>
      <c r="J26" s="8"/>
      <c r="K26" s="8"/>
      <c r="L26" s="8"/>
      <c r="M26" s="8"/>
      <c r="N26" s="6">
        <f t="shared" ref="N26" si="365">G26/D25</f>
        <v>5.6772131287478433E-4</v>
      </c>
      <c r="O26" s="6">
        <f t="shared" ref="O26" si="366">1-(+N26-1)^12</f>
        <v>6.7914236646242632E-3</v>
      </c>
      <c r="P26" s="40">
        <f t="shared" ref="P26" si="367">AVERAGE(O24:O26)</f>
        <v>6.5897444103059826E-3</v>
      </c>
      <c r="Q26" s="20">
        <f t="shared" ref="Q26" si="368">AVERAGE(O21:O26)</f>
        <v>7.6256363220810752E-3</v>
      </c>
      <c r="R26" s="20">
        <f t="shared" si="309"/>
        <v>6.4008361522964463E-3</v>
      </c>
      <c r="S26" s="11"/>
      <c r="T26" s="26">
        <v>92817706</v>
      </c>
      <c r="U26" s="26">
        <v>2092605</v>
      </c>
      <c r="V26" s="26">
        <v>1046082</v>
      </c>
      <c r="W26" s="26">
        <v>723493</v>
      </c>
      <c r="X26" s="26">
        <v>502680</v>
      </c>
      <c r="Y26" s="26">
        <v>143935</v>
      </c>
      <c r="Z26" s="26">
        <v>177021.91</v>
      </c>
      <c r="AA26" s="26">
        <f t="shared" ref="AA26" si="369">AA25+Z26</f>
        <v>1373894.8099999998</v>
      </c>
      <c r="AB26" s="4">
        <f t="shared" ref="AB26" si="370">AA26/$D$4</f>
        <v>1.2212395889257311E-2</v>
      </c>
      <c r="AC26" s="2">
        <v>89118094.310000002</v>
      </c>
      <c r="AD26" s="8">
        <f t="shared" ref="AD26" si="371">+AC26/$AC$4</f>
        <v>0.89118094310000007</v>
      </c>
      <c r="AE26" s="2">
        <f t="shared" ref="AE26" si="372">AC26*$AE$2</f>
        <v>79216083.831111103</v>
      </c>
      <c r="AF26" s="2">
        <v>10000000</v>
      </c>
      <c r="AG26" s="8">
        <f t="shared" ref="AG26" si="373">+AF26/$AF$4</f>
        <v>1</v>
      </c>
      <c r="AH26" s="2">
        <v>2500000</v>
      </c>
      <c r="AI26" s="8">
        <f t="shared" ref="AI26" si="374">+AH26/$AH$4</f>
        <v>1</v>
      </c>
      <c r="AJ26" s="8">
        <f t="shared" ref="AJ26" si="375">+AC26/D26</f>
        <v>0.90873724004758172</v>
      </c>
      <c r="AK26" s="2">
        <f>'[451]Sep-23'!$C$52</f>
        <v>1061299.8900000001</v>
      </c>
      <c r="AL26" s="4">
        <f t="shared" ref="AL26" si="376">((+D26+AK26)-AC26)/D26</f>
        <v>0.10208483531622214</v>
      </c>
      <c r="AM26" s="4">
        <f t="shared" ref="AM26" si="377">+T26/$D26</f>
        <v>0.94646218179424468</v>
      </c>
      <c r="AN26" s="4">
        <f t="shared" ref="AN26" si="378">+U26/$D26</f>
        <v>2.1338293945053387E-2</v>
      </c>
      <c r="AO26" s="4">
        <f t="shared" ref="AO26" si="379">+V26/$D26</f>
        <v>1.0666898533946607E-2</v>
      </c>
      <c r="AP26" s="4">
        <f t="shared" ref="AP26" si="380">+W26/$D26</f>
        <v>7.3774583837793138E-3</v>
      </c>
      <c r="AQ26" s="4">
        <f t="shared" ref="AQ26" si="381">+X26/$D26</f>
        <v>5.1258281425780004E-3</v>
      </c>
      <c r="AR26" s="4">
        <f t="shared" ref="AR26" si="382">+Y26/$D26</f>
        <v>1.4677052472785162E-3</v>
      </c>
      <c r="AS26" s="4">
        <f t="shared" ref="AS26" si="383">+Z26/$D26</f>
        <v>1.8050924805659864E-3</v>
      </c>
    </row>
    <row r="27" spans="1:45" x14ac:dyDescent="0.25">
      <c r="A27">
        <f t="shared" si="6"/>
        <v>23</v>
      </c>
      <c r="B27" s="3">
        <f t="shared" si="15"/>
        <v>45213</v>
      </c>
      <c r="C27" s="41">
        <v>2736</v>
      </c>
      <c r="D27" s="2">
        <v>97417519.109999999</v>
      </c>
      <c r="E27" s="32">
        <v>1.6199999999999999E-2</v>
      </c>
      <c r="F27" s="8">
        <f t="shared" ref="F27" si="384">+D27/$D$4</f>
        <v>0.86593333147579887</v>
      </c>
      <c r="G27" s="2">
        <v>53561</v>
      </c>
      <c r="H27" s="8"/>
      <c r="I27" s="8"/>
      <c r="J27" s="8"/>
      <c r="K27" s="8"/>
      <c r="L27" s="8"/>
      <c r="M27" s="8"/>
      <c r="N27" s="6">
        <f t="shared" ref="N27" si="385">G27/D26</f>
        <v>5.461615364538479E-4</v>
      </c>
      <c r="O27" s="6">
        <f t="shared" ref="O27" si="386">1-(+N27-1)^12</f>
        <v>6.5342869349493959E-3</v>
      </c>
      <c r="P27" s="40">
        <f t="shared" ref="P27" si="387">AVERAGE(O25:O27)</f>
        <v>7.3605429625034358E-3</v>
      </c>
      <c r="Q27" s="20">
        <f t="shared" ref="Q27" si="388">AVERAGE(O22:O27)</f>
        <v>7.4493956858916093E-3</v>
      </c>
      <c r="R27" s="20">
        <f t="shared" si="309"/>
        <v>5.7652361837997141E-3</v>
      </c>
      <c r="S27" s="11">
        <v>1108877.76</v>
      </c>
      <c r="T27" s="26">
        <v>91612774</v>
      </c>
      <c r="U27" s="26">
        <v>2543057</v>
      </c>
      <c r="V27" s="26">
        <v>1227668</v>
      </c>
      <c r="W27" s="26">
        <v>566494</v>
      </c>
      <c r="X27" s="26">
        <v>382566</v>
      </c>
      <c r="Y27" s="26">
        <v>378801</v>
      </c>
      <c r="Z27" s="26">
        <v>34998.69</v>
      </c>
      <c r="AA27" s="26">
        <f t="shared" ref="AA27" si="389">AA26+Z27</f>
        <v>1408893.4999999998</v>
      </c>
      <c r="AB27" s="4">
        <f t="shared" ref="AB27" si="390">AA27/$D$4</f>
        <v>1.2523495294229508E-2</v>
      </c>
      <c r="AC27" s="2">
        <v>88743696.129999995</v>
      </c>
      <c r="AD27" s="8">
        <f t="shared" ref="AD27" si="391">+AC27/$AC$4</f>
        <v>0.88743696129999994</v>
      </c>
      <c r="AE27" s="2">
        <f t="shared" ref="AE27" si="392">AC27*$AE$2</f>
        <v>78883285.448888883</v>
      </c>
      <c r="AF27" s="2">
        <v>10000000</v>
      </c>
      <c r="AG27" s="8">
        <f t="shared" ref="AG27" si="393">+AF27/$AF$4</f>
        <v>1</v>
      </c>
      <c r="AH27" s="2">
        <v>2500000</v>
      </c>
      <c r="AI27" s="8">
        <f t="shared" ref="AI27" si="394">+AH27/$AH$4</f>
        <v>1</v>
      </c>
      <c r="AJ27" s="8">
        <f t="shared" ref="AJ27" si="395">+AC27/D27</f>
        <v>0.9109623909616722</v>
      </c>
      <c r="AK27" s="2">
        <f>'[451]Oct-23'!$C$52</f>
        <v>1035997.86</v>
      </c>
      <c r="AL27" s="4">
        <f t="shared" ref="AL27" si="396">((+D27+AK27)-AC27)/D27</f>
        <v>9.9672224551685201E-2</v>
      </c>
      <c r="AM27" s="4">
        <f t="shared" ref="AM27" si="397">+T27/$D27</f>
        <v>0.94041374525822696</v>
      </c>
      <c r="AN27" s="4">
        <f t="shared" ref="AN27" si="398">+U27/$D27</f>
        <v>2.6104719389625195E-2</v>
      </c>
      <c r="AO27" s="4">
        <f t="shared" ref="AO27" si="399">+V27/$D27</f>
        <v>1.2602127535333414E-2</v>
      </c>
      <c r="AP27" s="4">
        <f t="shared" ref="AP27" si="400">+W27/$D27</f>
        <v>5.8151142132898855E-3</v>
      </c>
      <c r="AQ27" s="4">
        <f t="shared" ref="AQ27" si="401">+X27/$D27</f>
        <v>3.9270759868974044E-3</v>
      </c>
      <c r="AR27" s="4">
        <f t="shared" ref="AR27" si="402">+Y27/$D27</f>
        <v>3.8884279076361297E-3</v>
      </c>
      <c r="AS27" s="4">
        <f t="shared" ref="AS27" si="403">+Z27/$D27</f>
        <v>3.5926484599223751E-4</v>
      </c>
    </row>
    <row r="28" spans="1:45" x14ac:dyDescent="0.25">
      <c r="A28">
        <f t="shared" si="6"/>
        <v>24</v>
      </c>
      <c r="B28" s="3">
        <f t="shared" si="15"/>
        <v>45244</v>
      </c>
      <c r="C28" s="41">
        <v>2724</v>
      </c>
      <c r="D28" s="2">
        <v>96669926.359999999</v>
      </c>
      <c r="E28" s="32">
        <v>1.6199999999999999E-2</v>
      </c>
      <c r="F28" s="8">
        <f t="shared" ref="F28" si="404">+D28/$D$4</f>
        <v>0.85928806390474033</v>
      </c>
      <c r="G28" s="2">
        <v>96932.37</v>
      </c>
      <c r="H28" s="8"/>
      <c r="I28" s="8"/>
      <c r="J28" s="8"/>
      <c r="K28" s="8"/>
      <c r="L28" s="8"/>
      <c r="M28" s="8"/>
      <c r="N28" s="6">
        <f t="shared" ref="N28" si="405">G28/D27</f>
        <v>9.9501989873656931E-4</v>
      </c>
      <c r="O28" s="6">
        <f t="shared" ref="O28" si="406">1-(+N28-1)^12</f>
        <v>1.1875110766345731E-2</v>
      </c>
      <c r="P28" s="40">
        <f t="shared" ref="P28" si="407">AVERAGE(O26:O28)</f>
        <v>8.4002737886397973E-3</v>
      </c>
      <c r="Q28" s="20">
        <f t="shared" ref="Q28" si="408">AVERAGE(O23:O28)</f>
        <v>7.8508301651532188E-3</v>
      </c>
      <c r="R28" s="20">
        <f t="shared" si="309"/>
        <v>5.9718281189226159E-3</v>
      </c>
      <c r="S28" s="11">
        <v>1092319.6599999999</v>
      </c>
      <c r="T28" s="26">
        <v>90842472</v>
      </c>
      <c r="U28" s="26">
        <v>2408226</v>
      </c>
      <c r="V28" s="26">
        <v>1414501</v>
      </c>
      <c r="W28" s="26">
        <v>595922</v>
      </c>
      <c r="X28" s="26">
        <v>263005</v>
      </c>
      <c r="Y28" s="26">
        <v>437149</v>
      </c>
      <c r="Z28" s="26">
        <v>0</v>
      </c>
      <c r="AA28" s="26">
        <f t="shared" ref="AA28" si="409">AA27+Z28</f>
        <v>1408893.4999999998</v>
      </c>
      <c r="AB28" s="4">
        <f t="shared" ref="AB28" si="410">AA28/$D$4</f>
        <v>1.2523495294229508E-2</v>
      </c>
      <c r="AC28" s="2">
        <v>87162404.439999998</v>
      </c>
      <c r="AD28" s="8">
        <f t="shared" ref="AD28" si="411">+AC28/$AC$4</f>
        <v>0.87162404439999996</v>
      </c>
      <c r="AE28" s="2">
        <f t="shared" ref="AE28" si="412">AC28*$AE$2</f>
        <v>77477692.835555553</v>
      </c>
      <c r="AF28" s="2">
        <v>10000000</v>
      </c>
      <c r="AG28" s="8">
        <f t="shared" ref="AG28" si="413">+AF28/$AF$4</f>
        <v>1</v>
      </c>
      <c r="AH28" s="2">
        <v>2500000</v>
      </c>
      <c r="AI28" s="8">
        <f t="shared" ref="AI28" si="414">+AH28/$AH$4</f>
        <v>1</v>
      </c>
      <c r="AJ28" s="8">
        <f t="shared" ref="AJ28" si="415">+AC28/D28</f>
        <v>0.90164964143456705</v>
      </c>
      <c r="AK28" s="2">
        <v>1031645.46</v>
      </c>
      <c r="AL28" s="4">
        <f t="shared" ref="AL28" si="416">((+D28+AK28)-AC28)/D28</f>
        <v>0.10902219311466119</v>
      </c>
      <c r="AM28" s="4">
        <f t="shared" ref="AM28" si="417">+T28/$D28</f>
        <v>0.93971802214580691</v>
      </c>
      <c r="AN28" s="4">
        <f t="shared" ref="AN28" si="418">+U28/$D28</f>
        <v>2.4911842707231787E-2</v>
      </c>
      <c r="AO28" s="4">
        <f t="shared" ref="AO28" si="419">+V28/$D28</f>
        <v>1.4632275551057946E-2</v>
      </c>
      <c r="AP28" s="4">
        <f t="shared" ref="AP28" si="420">+W28/$D28</f>
        <v>6.1645024718523017E-3</v>
      </c>
      <c r="AQ28" s="4">
        <f t="shared" ref="AQ28" si="421">+X28/$D28</f>
        <v>2.720649636377772E-3</v>
      </c>
      <c r="AR28" s="4">
        <f t="shared" ref="AR28" si="422">+Y28/$D28</f>
        <v>4.5220785456280554E-3</v>
      </c>
      <c r="AS28" s="4">
        <f t="shared" ref="AS28" si="423">+Z28/$D28</f>
        <v>0</v>
      </c>
    </row>
    <row r="29" spans="1:45" x14ac:dyDescent="0.25">
      <c r="A29">
        <f t="shared" si="6"/>
        <v>25</v>
      </c>
      <c r="B29" s="3">
        <f t="shared" si="15"/>
        <v>45275</v>
      </c>
      <c r="C29" s="41">
        <v>2723</v>
      </c>
      <c r="D29" s="2">
        <v>96403828.939999998</v>
      </c>
      <c r="E29" s="32">
        <v>1.6199999999999999E-2</v>
      </c>
      <c r="F29" s="8">
        <f t="shared" ref="F29" si="424">+D29/$D$4</f>
        <v>0.85692275397380757</v>
      </c>
      <c r="G29" s="2">
        <v>20882.580000000002</v>
      </c>
      <c r="H29" s="8"/>
      <c r="I29" s="8"/>
      <c r="J29" s="8"/>
      <c r="K29" s="8"/>
      <c r="L29" s="8"/>
      <c r="M29" s="8"/>
      <c r="N29" s="6">
        <f t="shared" ref="N29" si="425">G29/D28</f>
        <v>2.160194052722562E-4</v>
      </c>
      <c r="O29" s="6">
        <f t="shared" ref="O29" si="426">1-(+N29-1)^12</f>
        <v>2.5891552305723486E-3</v>
      </c>
      <c r="P29" s="40">
        <f t="shared" ref="P29" si="427">AVERAGE(O27:O29)</f>
        <v>6.9995176439558255E-3</v>
      </c>
      <c r="Q29" s="20">
        <f t="shared" ref="Q29" si="428">AVERAGE(O24:O29)</f>
        <v>6.7946310271309041E-3</v>
      </c>
      <c r="R29" s="20">
        <f t="shared" ref="R29" si="429">AVERAGE(O18:O29)</f>
        <v>6.1875910548036444E-3</v>
      </c>
      <c r="S29" s="11"/>
      <c r="T29" s="26">
        <v>89978664</v>
      </c>
      <c r="U29" s="26">
        <v>2764792</v>
      </c>
      <c r="V29" s="26">
        <v>1301058</v>
      </c>
      <c r="W29" s="26">
        <v>591808</v>
      </c>
      <c r="X29" s="26">
        <v>527483</v>
      </c>
      <c r="Y29" s="26">
        <v>358668</v>
      </c>
      <c r="Z29" s="26">
        <v>197082.68</v>
      </c>
      <c r="AA29" s="26">
        <f t="shared" ref="AA29" si="430">AA28+Z29</f>
        <v>1605976.1799999997</v>
      </c>
      <c r="AB29" s="4">
        <f t="shared" ref="AB29" si="431">AA29/$D$4</f>
        <v>1.4275340991263485E-2</v>
      </c>
      <c r="AC29" s="2">
        <v>86077970.799999997</v>
      </c>
      <c r="AD29" s="8">
        <f t="shared" ref="AD29" si="432">+AC29/$AC$4</f>
        <v>0.86077970799999992</v>
      </c>
      <c r="AE29" s="2">
        <f t="shared" ref="AE29" si="433">AC29*$AE$2</f>
        <v>76513751.822222218</v>
      </c>
      <c r="AF29" s="2">
        <v>10000000</v>
      </c>
      <c r="AG29" s="8">
        <f t="shared" ref="AG29" si="434">+AF29/$AF$4</f>
        <v>1</v>
      </c>
      <c r="AH29" s="2">
        <v>2500000</v>
      </c>
      <c r="AI29" s="8">
        <f t="shared" ref="AI29" si="435">+AH29/$AH$4</f>
        <v>1</v>
      </c>
      <c r="AJ29" s="8">
        <f t="shared" ref="AJ29" si="436">+AC29/D29</f>
        <v>0.89288954335593218</v>
      </c>
      <c r="AK29" s="2">
        <v>1013262.96</v>
      </c>
      <c r="AL29" s="4">
        <f t="shared" ref="AL29" si="437">((+D29+AK29)-AC29)/D29</f>
        <v>0.11762106572610574</v>
      </c>
      <c r="AM29" s="4">
        <f t="shared" ref="AM29" si="438">+T29/$D29</f>
        <v>0.93335155863986585</v>
      </c>
      <c r="AN29" s="4">
        <f t="shared" ref="AN29" si="439">+U29/$D29</f>
        <v>2.8679275817154074E-2</v>
      </c>
      <c r="AO29" s="4">
        <f t="shared" ref="AO29" si="440">+V29/$D29</f>
        <v>1.3495916233884808E-2</v>
      </c>
      <c r="AP29" s="4">
        <f t="shared" ref="AP29" si="441">+W29/$D29</f>
        <v>6.1388433064036348E-3</v>
      </c>
      <c r="AQ29" s="4">
        <f t="shared" ref="AQ29" si="442">+X29/$D29</f>
        <v>5.4715980246831889E-3</v>
      </c>
      <c r="AR29" s="4">
        <f t="shared" ref="AR29" si="443">+Y29/$D29</f>
        <v>3.7204746320110222E-3</v>
      </c>
      <c r="AS29" s="4">
        <f t="shared" ref="AS29" si="444">+Z29/$D29</f>
        <v>2.0443449411398453E-3</v>
      </c>
    </row>
    <row r="30" spans="1:45" x14ac:dyDescent="0.25">
      <c r="A30">
        <f t="shared" si="6"/>
        <v>26</v>
      </c>
      <c r="B30" s="3">
        <f t="shared" si="15"/>
        <v>45306</v>
      </c>
      <c r="C30" s="41">
        <v>2718</v>
      </c>
      <c r="D30" s="2">
        <v>95976587.730000004</v>
      </c>
      <c r="E30" s="32">
        <v>1.6199999999999999E-2</v>
      </c>
      <c r="F30" s="8">
        <f t="shared" ref="F30" si="445">+D30/$D$4</f>
        <v>0.85312505508248915</v>
      </c>
      <c r="G30" s="2">
        <v>152000.03</v>
      </c>
      <c r="H30" s="8"/>
      <c r="I30" s="8"/>
      <c r="J30" s="8"/>
      <c r="K30" s="8"/>
      <c r="L30" s="8"/>
      <c r="M30" s="8"/>
      <c r="N30" s="6">
        <f t="shared" ref="N30" si="446">G30/D29</f>
        <v>1.576701171222173E-3</v>
      </c>
      <c r="O30" s="6">
        <f t="shared" ref="O30" si="447">1-(+N30-1)^12</f>
        <v>1.8757198213456228E-2</v>
      </c>
      <c r="P30" s="40">
        <f t="shared" ref="P30" si="448">AVERAGE(O28:O30)</f>
        <v>1.1073821403458103E-2</v>
      </c>
      <c r="Q30" s="20">
        <f t="shared" ref="Q30" si="449">AVERAGE(O25:O30)</f>
        <v>9.2171821829807685E-3</v>
      </c>
      <c r="R30" s="20">
        <f t="shared" ref="R30" si="450">AVERAGE(O19:O30)</f>
        <v>7.1331685417382329E-3</v>
      </c>
      <c r="S30" s="11"/>
      <c r="T30" s="26">
        <v>89473627</v>
      </c>
      <c r="U30" s="26">
        <v>2752121</v>
      </c>
      <c r="V30" s="26">
        <v>1200044</v>
      </c>
      <c r="W30" s="26">
        <v>915771</v>
      </c>
      <c r="X30" s="26">
        <v>287492</v>
      </c>
      <c r="Y30" s="26">
        <v>243903</v>
      </c>
      <c r="Z30" s="26">
        <v>87113.49</v>
      </c>
      <c r="AA30" s="26">
        <f t="shared" ref="AA30" si="451">AA29+Z30</f>
        <v>1693089.6699999997</v>
      </c>
      <c r="AB30" s="4">
        <f t="shared" ref="AB30" si="452">AA30/$D$4</f>
        <v>1.5049682971036201E-2</v>
      </c>
      <c r="AC30" s="2">
        <v>85917328.890000001</v>
      </c>
      <c r="AD30" s="8">
        <f t="shared" ref="AD30" si="453">+AC30/$AC$4</f>
        <v>0.8591732889</v>
      </c>
      <c r="AE30" s="2">
        <f t="shared" ref="AE30" si="454">AC30*$AE$2</f>
        <v>76370959.013333336</v>
      </c>
      <c r="AF30" s="2">
        <v>10000000</v>
      </c>
      <c r="AG30" s="8">
        <f t="shared" ref="AG30" si="455">+AF30/$AF$4</f>
        <v>1</v>
      </c>
      <c r="AH30" s="2">
        <v>2500000</v>
      </c>
      <c r="AI30" s="8">
        <f t="shared" ref="AI30" si="456">+AH30/$AH$4</f>
        <v>1</v>
      </c>
      <c r="AJ30" s="8">
        <f t="shared" ref="AJ30" si="457">+AC30/D30</f>
        <v>0.89519049303671261</v>
      </c>
      <c r="AK30" s="2">
        <v>1000656.42</v>
      </c>
      <c r="AL30" s="4">
        <f t="shared" ref="AL30" si="458">((+D30+AK30)-AC30)/D30</f>
        <v>0.11523555401983664</v>
      </c>
      <c r="AM30" s="4">
        <f t="shared" ref="AM30" si="459">+T30/$D30</f>
        <v>0.9322443016176607</v>
      </c>
      <c r="AN30" s="4">
        <f t="shared" ref="AN30" si="460">+U30/$D30</f>
        <v>2.867492026015999E-2</v>
      </c>
      <c r="AO30" s="4">
        <f t="shared" ref="AO30" si="461">+V30/$D30</f>
        <v>1.250350766143038E-2</v>
      </c>
      <c r="AP30" s="4">
        <f t="shared" ref="AP30" si="462">+W30/$D30</f>
        <v>9.5416082365444594E-3</v>
      </c>
      <c r="AQ30" s="4">
        <f t="shared" ref="AQ30" si="463">+X30/$D30</f>
        <v>2.9954388544086237E-3</v>
      </c>
      <c r="AR30" s="4">
        <f t="shared" ref="AR30" si="464">+Y30/$D30</f>
        <v>2.5412760108344807E-3</v>
      </c>
      <c r="AS30" s="4">
        <f t="shared" ref="AS30" si="465">+Z30/$D30</f>
        <v>9.076535440608334E-4</v>
      </c>
    </row>
    <row r="31" spans="1:45" x14ac:dyDescent="0.25">
      <c r="A31">
        <f t="shared" si="6"/>
        <v>27</v>
      </c>
      <c r="B31" s="3">
        <f t="shared" si="15"/>
        <v>45337</v>
      </c>
      <c r="C31" s="41">
        <v>2713</v>
      </c>
      <c r="D31" s="2">
        <v>95558789.260000005</v>
      </c>
      <c r="E31" s="32">
        <v>1.6199999999999999E-2</v>
      </c>
      <c r="F31" s="8">
        <f t="shared" ref="F31" si="466">+D31/$D$4</f>
        <v>0.84941129164119189</v>
      </c>
      <c r="G31" s="2">
        <v>138275.75</v>
      </c>
      <c r="H31" s="8"/>
      <c r="I31" s="8"/>
      <c r="J31" s="8"/>
      <c r="K31" s="8"/>
      <c r="L31" s="8"/>
      <c r="M31" s="8"/>
      <c r="N31" s="6">
        <f t="shared" ref="N31" si="467">G31/D30</f>
        <v>1.4407237563914589E-3</v>
      </c>
      <c r="O31" s="6">
        <f t="shared" ref="O31" si="468">1-(+N31-1)^12</f>
        <v>1.715234565022028E-2</v>
      </c>
      <c r="P31" s="40">
        <f t="shared" ref="P31" si="469">AVERAGE(O29:O31)</f>
        <v>1.2832899698082953E-2</v>
      </c>
      <c r="Q31" s="20">
        <f t="shared" ref="Q31" si="470">AVERAGE(O26:O31)</f>
        <v>1.0616586743361375E-2</v>
      </c>
      <c r="R31" s="20">
        <f t="shared" ref="R31" si="471">AVERAGE(O20:O31)</f>
        <v>8.562530679256589E-3</v>
      </c>
      <c r="S31" s="11"/>
      <c r="T31" s="26">
        <v>89077973</v>
      </c>
      <c r="U31" s="26">
        <v>3042771</v>
      </c>
      <c r="V31" s="26">
        <v>1204179</v>
      </c>
      <c r="W31" s="26">
        <v>588786</v>
      </c>
      <c r="X31" s="26">
        <v>472275</v>
      </c>
      <c r="Y31" s="26">
        <v>171337</v>
      </c>
      <c r="Z31" s="26">
        <v>172634.05</v>
      </c>
      <c r="AA31" s="26">
        <f t="shared" ref="AA31" si="472">AA30+Z31</f>
        <v>1865723.7199999997</v>
      </c>
      <c r="AB31" s="4">
        <f t="shared" ref="AB31" si="473">AA31/$D$4</f>
        <v>1.6584207555611814E-2</v>
      </c>
      <c r="AC31" s="2">
        <v>85758044.829999998</v>
      </c>
      <c r="AD31" s="8">
        <f t="shared" ref="AD31" si="474">+AC31/$AC$4</f>
        <v>0.85758044830000002</v>
      </c>
      <c r="AE31" s="2">
        <f t="shared" ref="AE31" si="475">AC31*$AE$2</f>
        <v>76229373.182222217</v>
      </c>
      <c r="AF31" s="2">
        <v>10000000</v>
      </c>
      <c r="AG31" s="8">
        <f t="shared" ref="AG31" si="476">+AF31/$AF$4</f>
        <v>1</v>
      </c>
      <c r="AH31" s="2">
        <v>2500000</v>
      </c>
      <c r="AI31" s="8">
        <f t="shared" ref="AI31" si="477">+AH31/$AH$4</f>
        <v>1</v>
      </c>
      <c r="AJ31" s="8">
        <f t="shared" ref="AJ31" si="478">+AC31/D31</f>
        <v>0.89743754074432891</v>
      </c>
      <c r="AK31" s="2">
        <v>998788.95</v>
      </c>
      <c r="AL31" s="4">
        <f t="shared" ref="AL31:AL36" si="479">((+D31+AK31)-AC31)/D31</f>
        <v>0.11301454804556206</v>
      </c>
      <c r="AM31" s="4">
        <f t="shared" ref="AM31" si="480">+T31/$D31</f>
        <v>0.93217979936553241</v>
      </c>
      <c r="AN31" s="4">
        <f t="shared" ref="AN31" si="481">+U31/$D31</f>
        <v>3.1841874761735549E-2</v>
      </c>
      <c r="AO31" s="4">
        <f t="shared" ref="AO31" si="482">+V31/$D31</f>
        <v>1.260144680908026E-2</v>
      </c>
      <c r="AP31" s="4">
        <f t="shared" ref="AP31" si="483">+W31/$D31</f>
        <v>6.1615054414095654E-3</v>
      </c>
      <c r="AQ31" s="4">
        <f t="shared" ref="AQ31" si="484">+X31/$D31</f>
        <v>4.942245539706621E-3</v>
      </c>
      <c r="AR31" s="4">
        <f t="shared" ref="AR31" si="485">+Y31/$D31</f>
        <v>1.7930009507950101E-3</v>
      </c>
      <c r="AS31" s="4">
        <f t="shared" ref="AS31:AS36" si="486">+Z31/$D31</f>
        <v>1.8065742705288016E-3</v>
      </c>
    </row>
    <row r="32" spans="1:45" x14ac:dyDescent="0.25">
      <c r="A32">
        <f t="shared" si="6"/>
        <v>28</v>
      </c>
      <c r="B32" s="3">
        <f t="shared" si="15"/>
        <v>45368</v>
      </c>
      <c r="C32" s="41">
        <v>2711</v>
      </c>
      <c r="D32" s="2">
        <v>95259084.019999996</v>
      </c>
      <c r="E32" s="32">
        <v>1.6199999999999999E-2</v>
      </c>
      <c r="F32" s="8">
        <f t="shared" ref="F32" si="487">+D32/$D$4</f>
        <v>0.84674724559172398</v>
      </c>
      <c r="G32" s="2">
        <v>51302.09</v>
      </c>
      <c r="H32" s="8"/>
      <c r="I32" s="8"/>
      <c r="J32" s="8"/>
      <c r="K32" s="8"/>
      <c r="L32" s="8"/>
      <c r="M32" s="8"/>
      <c r="N32" s="6">
        <f t="shared" ref="N32" si="488">G32/D31</f>
        <v>5.3686416913901352E-4</v>
      </c>
      <c r="O32" s="6">
        <f t="shared" ref="O32" si="489">1-(+N32-1)^12</f>
        <v>6.4233813036677079E-3</v>
      </c>
      <c r="P32" s="40">
        <f t="shared" ref="P32" si="490">AVERAGE(O30:O32)</f>
        <v>1.4110975055781405E-2</v>
      </c>
      <c r="Q32" s="20">
        <f t="shared" ref="Q32" si="491">AVERAGE(O27:O32)</f>
        <v>1.0555246349868616E-2</v>
      </c>
      <c r="R32" s="20">
        <f t="shared" ref="R32" si="492">AVERAGE(O21:O32)</f>
        <v>9.0904413359748446E-3</v>
      </c>
      <c r="S32" s="11"/>
      <c r="T32" s="26">
        <v>88086959</v>
      </c>
      <c r="U32" s="26">
        <v>2782431</v>
      </c>
      <c r="V32" s="26">
        <v>1930260</v>
      </c>
      <c r="W32" s="26">
        <v>776561</v>
      </c>
      <c r="X32" s="26">
        <v>446138</v>
      </c>
      <c r="Y32" s="26">
        <v>172886</v>
      </c>
      <c r="Z32" s="26">
        <v>50976.25</v>
      </c>
      <c r="AA32" s="26">
        <f t="shared" ref="AA32" si="493">AA31+Z32</f>
        <v>1916699.9699999997</v>
      </c>
      <c r="AB32" s="4">
        <f t="shared" ref="AB32" si="494">AA32/$D$4</f>
        <v>1.7037329687974882E-2</v>
      </c>
      <c r="AC32" s="2">
        <v>85725039.340000004</v>
      </c>
      <c r="AD32" s="8">
        <f t="shared" ref="AD32" si="495">+AC32/$AC$4</f>
        <v>0.85725039340000009</v>
      </c>
      <c r="AE32" s="2">
        <f t="shared" ref="AE32" si="496">AC32*$AE$2</f>
        <v>76200034.968888894</v>
      </c>
      <c r="AF32" s="2">
        <v>10000000</v>
      </c>
      <c r="AG32" s="8">
        <f t="shared" ref="AG32" si="497">+AF32/$AF$4</f>
        <v>1</v>
      </c>
      <c r="AH32" s="2">
        <v>2500000</v>
      </c>
      <c r="AI32" s="8">
        <f t="shared" ref="AI32" si="498">+AH32/$AH$4</f>
        <v>1</v>
      </c>
      <c r="AJ32" s="8">
        <f t="shared" ref="AJ32" si="499">+AC32/D32</f>
        <v>0.89991458790430645</v>
      </c>
      <c r="AK32" s="2">
        <v>996937.26</v>
      </c>
      <c r="AL32" s="4">
        <f t="shared" si="479"/>
        <v>0.1105509469080028</v>
      </c>
      <c r="AM32" s="4">
        <f t="shared" ref="AM32" si="500">+T32/$D32</f>
        <v>0.92470928002526054</v>
      </c>
      <c r="AN32" s="4">
        <f t="shared" ref="AN32" si="501">+U32/$D32</f>
        <v>2.9209088336560305E-2</v>
      </c>
      <c r="AO32" s="4">
        <f t="shared" ref="AO32" si="502">+V32/$D32</f>
        <v>2.0263264337023593E-2</v>
      </c>
      <c r="AP32" s="4">
        <f t="shared" ref="AP32" si="503">+W32/$D32</f>
        <v>8.1520939235250056E-3</v>
      </c>
      <c r="AQ32" s="4">
        <f t="shared" ref="AQ32" si="504">+X32/$D32</f>
        <v>4.6834168582424295E-3</v>
      </c>
      <c r="AR32" s="4">
        <f t="shared" ref="AR32" si="505">+Y32/$D32</f>
        <v>1.8149030276598287E-3</v>
      </c>
      <c r="AS32" s="4">
        <f t="shared" si="486"/>
        <v>5.3513269127485367E-4</v>
      </c>
    </row>
    <row r="33" spans="1:45" x14ac:dyDescent="0.25">
      <c r="A33">
        <f t="shared" si="6"/>
        <v>29</v>
      </c>
      <c r="B33" s="3">
        <f t="shared" si="15"/>
        <v>45399</v>
      </c>
      <c r="C33" s="41">
        <v>2707</v>
      </c>
      <c r="D33" s="2">
        <v>94886359.090000004</v>
      </c>
      <c r="E33" s="32">
        <v>1.6199999999999999E-2</v>
      </c>
      <c r="F33" s="8">
        <f t="shared" ref="F33" si="506">+D33/$D$4</f>
        <v>0.84343413575986159</v>
      </c>
      <c r="G33" s="2">
        <v>100002.87</v>
      </c>
      <c r="H33" s="8"/>
      <c r="I33" s="8"/>
      <c r="J33" s="8"/>
      <c r="K33" s="8"/>
      <c r="L33" s="8"/>
      <c r="M33" s="8"/>
      <c r="N33" s="6">
        <f t="shared" ref="N33" si="507">G33/D32</f>
        <v>1.0497987780252434E-3</v>
      </c>
      <c r="O33" s="6">
        <f t="shared" ref="O33" si="508">1-(+N33-1)^12</f>
        <v>1.2525102153899015E-2</v>
      </c>
      <c r="P33" s="40">
        <f t="shared" ref="P33" si="509">AVERAGE(O31:O33)</f>
        <v>1.2033609702595668E-2</v>
      </c>
      <c r="Q33" s="20">
        <f t="shared" ref="Q33" si="510">AVERAGE(O28:O33)</f>
        <v>1.1553715553026886E-2</v>
      </c>
      <c r="R33" s="20">
        <f t="shared" ref="R33" si="511">AVERAGE(O22:O33)</f>
        <v>9.5015556194592479E-3</v>
      </c>
      <c r="S33" s="11">
        <v>2126471.2999999998</v>
      </c>
      <c r="T33" s="26">
        <v>87595803</v>
      </c>
      <c r="U33" s="26">
        <v>2880704</v>
      </c>
      <c r="V33" s="26">
        <v>1949232</v>
      </c>
      <c r="W33" s="26">
        <v>665843</v>
      </c>
      <c r="X33" s="26">
        <v>401091</v>
      </c>
      <c r="Y33" s="26">
        <v>393368</v>
      </c>
      <c r="Z33" s="26">
        <v>48047.83</v>
      </c>
      <c r="AA33" s="26">
        <f t="shared" ref="AA33" si="512">AA32+Z33</f>
        <v>1964747.7999999998</v>
      </c>
      <c r="AB33" s="4">
        <f t="shared" ref="AB33" si="513">AA33/$D$4</f>
        <v>1.746442142550007E-2</v>
      </c>
      <c r="AC33" s="2">
        <v>85625647.170000002</v>
      </c>
      <c r="AD33" s="8">
        <f t="shared" ref="AD33" si="514">+AC33/$AC$4</f>
        <v>0.85625647169999997</v>
      </c>
      <c r="AE33" s="2">
        <f t="shared" ref="AE33" si="515">AC33*$AE$2</f>
        <v>76111686.373333335</v>
      </c>
      <c r="AF33" s="2">
        <v>10000000</v>
      </c>
      <c r="AG33" s="8">
        <f t="shared" ref="AG33" si="516">+AF33/$AF$4</f>
        <v>1</v>
      </c>
      <c r="AH33" s="2">
        <v>2500000</v>
      </c>
      <c r="AI33" s="8">
        <f t="shared" ref="AI33" si="517">+AH33/$AH$4</f>
        <v>1</v>
      </c>
      <c r="AJ33" s="8">
        <f t="shared" ref="AJ33" si="518">+AC33/D33</f>
        <v>0.90240207329257738</v>
      </c>
      <c r="AK33" s="2">
        <v>996553.59</v>
      </c>
      <c r="AL33" s="4">
        <f t="shared" si="479"/>
        <v>0.10810052791962391</v>
      </c>
      <c r="AM33" s="4">
        <f t="shared" ref="AM33" si="519">+T33/$D33</f>
        <v>0.92316539321437252</v>
      </c>
      <c r="AN33" s="4">
        <f t="shared" ref="AN33" si="520">+U33/$D33</f>
        <v>3.0359516664219811E-2</v>
      </c>
      <c r="AO33" s="4">
        <f t="shared" ref="AO33" si="521">+V33/$D33</f>
        <v>2.0542805295660542E-2</v>
      </c>
      <c r="AP33" s="4">
        <f t="shared" ref="AP33" si="522">+W33/$D33</f>
        <v>7.0172678811339555E-3</v>
      </c>
      <c r="AQ33" s="4">
        <f t="shared" ref="AQ33" si="523">+X33/$D33</f>
        <v>4.2270670288820332E-3</v>
      </c>
      <c r="AR33" s="4">
        <f t="shared" ref="AR33" si="524">+Y33/$D33</f>
        <v>4.1456749291738475E-3</v>
      </c>
      <c r="AS33" s="4">
        <f t="shared" si="486"/>
        <v>5.0637236438197072E-4</v>
      </c>
    </row>
    <row r="34" spans="1:45" x14ac:dyDescent="0.25">
      <c r="A34">
        <f t="shared" si="6"/>
        <v>30</v>
      </c>
      <c r="B34" s="3">
        <f t="shared" si="15"/>
        <v>45430</v>
      </c>
      <c r="C34" s="41">
        <v>2703</v>
      </c>
      <c r="D34" s="2">
        <v>94479638.609999999</v>
      </c>
      <c r="E34" s="32">
        <v>1.6199999999999999E-2</v>
      </c>
      <c r="F34" s="8">
        <f t="shared" ref="F34" si="525">+D34/$D$4</f>
        <v>0.83981884332125867</v>
      </c>
      <c r="G34" s="2">
        <v>133459.09</v>
      </c>
      <c r="H34" s="8"/>
      <c r="I34" s="8"/>
      <c r="J34" s="8"/>
      <c r="K34" s="8"/>
      <c r="L34" s="8"/>
      <c r="M34" s="8"/>
      <c r="N34" s="6">
        <f t="shared" ref="N34" si="526">G34/D33</f>
        <v>1.4065150278704827E-3</v>
      </c>
      <c r="O34" s="6">
        <f t="shared" ref="O34" si="527">1-(+N34-1)^12</f>
        <v>1.674822377012275E-2</v>
      </c>
      <c r="P34" s="40">
        <f t="shared" ref="P34" si="528">AVERAGE(O32:O34)</f>
        <v>1.1898902409229825E-2</v>
      </c>
      <c r="Q34" s="20">
        <f t="shared" ref="Q34" si="529">AVERAGE(O29:O34)</f>
        <v>1.2365901053656389E-2</v>
      </c>
      <c r="R34" s="20">
        <f t="shared" ref="R34" si="530">AVERAGE(O23:O34)</f>
        <v>1.0108365609404804E-2</v>
      </c>
      <c r="S34" s="11"/>
      <c r="T34" s="26">
        <v>87889260</v>
      </c>
      <c r="U34" s="26">
        <v>2390070</v>
      </c>
      <c r="V34" s="26">
        <v>1823082</v>
      </c>
      <c r="W34" s="26">
        <v>774269</v>
      </c>
      <c r="X34" s="26">
        <v>136521</v>
      </c>
      <c r="Y34" s="26">
        <v>380318</v>
      </c>
      <c r="Z34" s="26">
        <v>149174.99</v>
      </c>
      <c r="AA34" s="26">
        <f t="shared" ref="AA34" si="531">AA33+Z34</f>
        <v>2113922.79</v>
      </c>
      <c r="AB34" s="4">
        <f t="shared" ref="AB34" si="532">AA34/$D$4</f>
        <v>1.8790421073650719E-2</v>
      </c>
      <c r="AC34" s="2">
        <v>83346388.040000007</v>
      </c>
      <c r="AD34" s="8">
        <f t="shared" ref="AD34" si="533">+AC34/$AC$4</f>
        <v>0.83346388040000008</v>
      </c>
      <c r="AE34" s="2">
        <f t="shared" ref="AE34" si="534">AC34*$AE$2</f>
        <v>74085678.25777778</v>
      </c>
      <c r="AF34" s="2">
        <v>10000000</v>
      </c>
      <c r="AG34" s="8">
        <f t="shared" ref="AG34" si="535">+AF34/$AF$4</f>
        <v>1</v>
      </c>
      <c r="AH34" s="2">
        <v>2500000</v>
      </c>
      <c r="AI34" s="8">
        <f t="shared" ref="AI34" si="536">+AH34/$AH$4</f>
        <v>1</v>
      </c>
      <c r="AJ34" s="8">
        <f t="shared" ref="AJ34" si="537">+AC34/D34</f>
        <v>0.88216243485057511</v>
      </c>
      <c r="AK34" s="2">
        <v>995398.14</v>
      </c>
      <c r="AL34" s="4">
        <f t="shared" si="479"/>
        <v>0.12837314884390616</v>
      </c>
      <c r="AM34" s="4">
        <f t="shared" ref="AM34" si="538">+T34/$D34</f>
        <v>0.93024551419799295</v>
      </c>
      <c r="AN34" s="4">
        <f t="shared" ref="AN34" si="539">+U34/$D34</f>
        <v>2.5297196678174295E-2</v>
      </c>
      <c r="AO34" s="4">
        <f t="shared" ref="AO34" si="540">+V34/$D34</f>
        <v>1.9296030624391485E-2</v>
      </c>
      <c r="AP34" s="4">
        <f t="shared" ref="AP34" si="541">+W34/$D34</f>
        <v>8.195088501513903E-3</v>
      </c>
      <c r="AQ34" s="4">
        <f t="shared" ref="AQ34" si="542">+X34/$D34</f>
        <v>1.4449780080504058E-3</v>
      </c>
      <c r="AR34" s="4">
        <f t="shared" ref="AR34" si="543">+Y34/$D34</f>
        <v>4.0253964303346313E-3</v>
      </c>
      <c r="AS34" s="4">
        <f t="shared" si="486"/>
        <v>1.578911522045247E-3</v>
      </c>
    </row>
    <row r="35" spans="1:45" x14ac:dyDescent="0.25">
      <c r="A35">
        <f t="shared" si="6"/>
        <v>31</v>
      </c>
      <c r="B35" s="3">
        <f t="shared" si="15"/>
        <v>45461</v>
      </c>
      <c r="C35" s="41">
        <v>2701</v>
      </c>
      <c r="D35" s="2">
        <v>94134068.769999996</v>
      </c>
      <c r="E35" s="32">
        <v>1.6199999999999999E-2</v>
      </c>
      <c r="F35" s="8">
        <f t="shared" ref="F35" si="544">+D35/$D$4</f>
        <v>0.83674711201930596</v>
      </c>
      <c r="G35" s="2">
        <v>65851.460000000006</v>
      </c>
      <c r="H35" s="8"/>
      <c r="I35" s="8"/>
      <c r="J35" s="8"/>
      <c r="K35" s="8"/>
      <c r="L35" s="8"/>
      <c r="M35" s="8"/>
      <c r="N35" s="6">
        <f t="shared" ref="N35" si="545">G35/D34</f>
        <v>6.9699102334447435E-4</v>
      </c>
      <c r="O35" s="6">
        <f t="shared" ref="O35" si="546">1-(+N35-1)^12</f>
        <v>8.3319040864021643E-3</v>
      </c>
      <c r="P35" s="40">
        <f t="shared" ref="P35" si="547">AVERAGE(O33:O35)</f>
        <v>1.253507667014131E-2</v>
      </c>
      <c r="Q35" s="20">
        <f t="shared" ref="Q35" si="548">AVERAGE(O30:O35)</f>
        <v>1.3323025862961357E-2</v>
      </c>
      <c r="R35" s="20">
        <f t="shared" ref="R35" si="549">AVERAGE(O24:O35)</f>
        <v>1.0058828445046131E-2</v>
      </c>
      <c r="S35" s="11"/>
      <c r="T35" s="26">
        <v>87316119</v>
      </c>
      <c r="U35" s="26">
        <v>3508094</v>
      </c>
      <c r="V35" s="26">
        <v>1288258</v>
      </c>
      <c r="W35" s="26">
        <v>363497</v>
      </c>
      <c r="X35" s="26">
        <v>283072</v>
      </c>
      <c r="Y35" s="26">
        <v>192675</v>
      </c>
      <c r="Z35" s="26">
        <v>45646.76</v>
      </c>
      <c r="AA35" s="26">
        <f t="shared" ref="AA35" si="550">AA34+Z35</f>
        <v>2159569.5499999998</v>
      </c>
      <c r="AB35" s="4">
        <f t="shared" ref="AB35" si="551">AA35/$D$4</f>
        <v>1.9196169970963978E-2</v>
      </c>
      <c r="AC35" s="2">
        <v>83250057.379999995</v>
      </c>
      <c r="AD35" s="8">
        <f t="shared" ref="AD35" si="552">+AC35/$AC$4</f>
        <v>0.83250057379999998</v>
      </c>
      <c r="AE35" s="2">
        <f t="shared" ref="AE35" si="553">AC35*$AE$2</f>
        <v>74000051.004444435</v>
      </c>
      <c r="AF35" s="2">
        <v>10000000</v>
      </c>
      <c r="AG35" s="8">
        <f t="shared" ref="AG35" si="554">+AF35/$AF$4</f>
        <v>1</v>
      </c>
      <c r="AH35" s="2">
        <v>2500000</v>
      </c>
      <c r="AI35" s="8">
        <f t="shared" ref="AI35" si="555">+AH35/$AH$4</f>
        <v>1</v>
      </c>
      <c r="AJ35" s="8">
        <f t="shared" ref="AJ35" si="556">+AC35/D35</f>
        <v>0.88437755286459396</v>
      </c>
      <c r="AK35" s="2">
        <v>968901.75</v>
      </c>
      <c r="AL35" s="4">
        <f t="shared" si="479"/>
        <v>0.1259152323369821</v>
      </c>
      <c r="AM35" s="4">
        <f t="shared" ref="AM35" si="557">+T35/$D35</f>
        <v>0.92757192099431662</v>
      </c>
      <c r="AN35" s="4">
        <f t="shared" ref="AN35" si="558">+U35/$D35</f>
        <v>3.7266996379083636E-2</v>
      </c>
      <c r="AO35" s="4">
        <f t="shared" ref="AO35" si="559">+V35/$D35</f>
        <v>1.3685353420212095E-2</v>
      </c>
      <c r="AP35" s="4">
        <f t="shared" ref="AP35" si="560">+W35/$D35</f>
        <v>3.8614818710125112E-3</v>
      </c>
      <c r="AQ35" s="4">
        <f t="shared" ref="AQ35" si="561">+X35/$D35</f>
        <v>3.0071153164709851E-3</v>
      </c>
      <c r="AR35" s="4">
        <f t="shared" ref="AR35" si="562">+Y35/$D35</f>
        <v>2.0468147453688358E-3</v>
      </c>
      <c r="AS35" s="4">
        <f t="shared" si="486"/>
        <v>4.84912217185999E-4</v>
      </c>
    </row>
    <row r="36" spans="1:45" x14ac:dyDescent="0.25">
      <c r="A36">
        <f t="shared" si="6"/>
        <v>32</v>
      </c>
      <c r="B36" s="3">
        <f t="shared" si="15"/>
        <v>45492</v>
      </c>
      <c r="C36" s="41">
        <v>2699</v>
      </c>
      <c r="D36" s="2">
        <v>93806022.670000002</v>
      </c>
      <c r="E36" s="32">
        <v>1.84E-2</v>
      </c>
      <c r="F36" s="8">
        <f t="shared" ref="F36" si="563">+D36/$D$4</f>
        <v>0.8338311472642409</v>
      </c>
      <c r="G36" s="2">
        <v>76521.38</v>
      </c>
      <c r="H36" s="8"/>
      <c r="I36" s="8"/>
      <c r="J36" s="8"/>
      <c r="K36" s="8"/>
      <c r="L36" s="8"/>
      <c r="M36" s="8"/>
      <c r="N36" s="6">
        <f t="shared" ref="N36" si="564">G36/D35</f>
        <v>8.1289782753326547E-4</v>
      </c>
      <c r="O36" s="6">
        <f t="shared" ref="O36" si="565">1-(+N36-1)^12</f>
        <v>9.7112789009337064E-3</v>
      </c>
      <c r="P36" s="40">
        <f t="shared" ref="P36" si="566">AVERAGE(O34:O36)</f>
        <v>1.159713558581954E-2</v>
      </c>
      <c r="Q36" s="20">
        <f t="shared" ref="Q36" si="567">AVERAGE(O31:O36)</f>
        <v>1.1815372644207603E-2</v>
      </c>
      <c r="R36" s="20">
        <f t="shared" ref="R36" si="568">AVERAGE(O25:O36)</f>
        <v>1.0516277413594186E-2</v>
      </c>
      <c r="S36" s="11"/>
      <c r="T36" s="26">
        <v>86615732</v>
      </c>
      <c r="U36" s="26">
        <v>3297114</v>
      </c>
      <c r="V36" s="26">
        <v>1726355</v>
      </c>
      <c r="W36" s="26">
        <v>531760</v>
      </c>
      <c r="X36" s="26">
        <v>212869</v>
      </c>
      <c r="Y36" s="26">
        <v>159285</v>
      </c>
      <c r="Z36" s="26">
        <v>23566.43</v>
      </c>
      <c r="AA36" s="26">
        <f t="shared" ref="AA36" si="569">AA35+Z36</f>
        <v>2183135.98</v>
      </c>
      <c r="AB36" s="4">
        <f t="shared" ref="AB36" si="570">AA36/$D$4</f>
        <v>1.9405649307199679E-2</v>
      </c>
      <c r="AC36" s="2">
        <v>83189617.879999995</v>
      </c>
      <c r="AD36" s="8">
        <f t="shared" ref="AD36" si="571">+AC36/$AC$4</f>
        <v>0.8318961788</v>
      </c>
      <c r="AE36" s="2">
        <f t="shared" ref="AE36" si="572">AC36*$AE$2</f>
        <v>73946327.004444435</v>
      </c>
      <c r="AF36" s="2">
        <v>10000000</v>
      </c>
      <c r="AG36" s="8">
        <f t="shared" ref="AG36" si="573">+AF36/$AF$4</f>
        <v>1</v>
      </c>
      <c r="AH36" s="2">
        <v>2500000</v>
      </c>
      <c r="AI36" s="8">
        <f t="shared" ref="AI36" si="574">+AH36/$AH$4</f>
        <v>1</v>
      </c>
      <c r="AJ36" s="8">
        <f t="shared" ref="AJ36" si="575">+AC36/D36</f>
        <v>0.88682597888893089</v>
      </c>
      <c r="AK36" s="2">
        <v>967781.91</v>
      </c>
      <c r="AL36" s="4">
        <f t="shared" si="479"/>
        <v>0.12349086306272666</v>
      </c>
      <c r="AM36" s="4">
        <f t="shared" ref="AM36:AM41" si="576">+T36/$D36</f>
        <v>0.92334937069771406</v>
      </c>
      <c r="AN36" s="4">
        <f t="shared" ref="AN36" si="577">+U36/$D36</f>
        <v>3.5148212301878631E-2</v>
      </c>
      <c r="AO36" s="4">
        <f t="shared" ref="AO36" si="578">+V36/$D36</f>
        <v>1.8403455885483391E-2</v>
      </c>
      <c r="AP36" s="4">
        <f t="shared" ref="AP36" si="579">+W36/$D36</f>
        <v>5.6687191809706855E-3</v>
      </c>
      <c r="AQ36" s="4">
        <f t="shared" ref="AQ36" si="580">+X36/$D36</f>
        <v>2.26924662128413E-3</v>
      </c>
      <c r="AR36" s="4">
        <f t="shared" ref="AR36" si="581">+Y36/$D36</f>
        <v>1.6980253022809456E-3</v>
      </c>
      <c r="AS36" s="4">
        <f t="shared" si="486"/>
        <v>2.5122512744095644E-4</v>
      </c>
    </row>
    <row r="37" spans="1:45" x14ac:dyDescent="0.25">
      <c r="A37">
        <f t="shared" si="6"/>
        <v>33</v>
      </c>
      <c r="B37" s="3">
        <f t="shared" si="15"/>
        <v>45523</v>
      </c>
      <c r="C37" s="41">
        <v>2694</v>
      </c>
      <c r="D37" s="2">
        <v>93336914.989999995</v>
      </c>
      <c r="E37" s="32">
        <v>1.84E-2</v>
      </c>
      <c r="F37" s="8">
        <f t="shared" ref="F37" si="582">+D37/$D$4</f>
        <v>0.82966130204672306</v>
      </c>
      <c r="G37" s="2">
        <v>152167.81</v>
      </c>
      <c r="H37" s="8"/>
      <c r="I37" s="8"/>
      <c r="J37" s="8"/>
      <c r="K37" s="8"/>
      <c r="L37" s="8"/>
      <c r="M37" s="8"/>
      <c r="N37" s="6">
        <f t="shared" ref="N37" si="583">G37/D36</f>
        <v>1.6221539477834039E-3</v>
      </c>
      <c r="O37" s="6">
        <f t="shared" ref="O37" si="584">1-(+N37-1)^12</f>
        <v>1.9293111720395828E-2</v>
      </c>
      <c r="P37" s="40">
        <f t="shared" ref="P37" si="585">AVERAGE(O35:O37)</f>
        <v>1.24454315692439E-2</v>
      </c>
      <c r="Q37" s="20">
        <f t="shared" ref="Q37" si="586">AVERAGE(O32:O37)</f>
        <v>1.2172166989236862E-2</v>
      </c>
      <c r="R37" s="20">
        <f t="shared" ref="R37" si="587">AVERAGE(O26:O37)</f>
        <v>1.1394376866299119E-2</v>
      </c>
      <c r="S37" s="11"/>
      <c r="T37" s="26">
        <v>86948106</v>
      </c>
      <c r="U37" s="26">
        <v>2834951</v>
      </c>
      <c r="V37" s="26">
        <v>1259960</v>
      </c>
      <c r="W37" s="26">
        <v>715746</v>
      </c>
      <c r="X37" s="26">
        <v>240260</v>
      </c>
      <c r="Y37" s="26">
        <v>184244</v>
      </c>
      <c r="Z37" s="26">
        <v>109206.39</v>
      </c>
      <c r="AA37" s="26">
        <f t="shared" ref="AA37" si="588">AA36+Z37</f>
        <v>2292342.37</v>
      </c>
      <c r="AB37" s="4">
        <f t="shared" ref="AB37" si="589">AA37/$D$4</f>
        <v>2.0376372581361137E-2</v>
      </c>
      <c r="AC37" s="2">
        <v>82971384.120000005</v>
      </c>
      <c r="AD37" s="8">
        <f t="shared" ref="AD37" si="590">+AC37/$AC$4</f>
        <v>0.82971384120000002</v>
      </c>
      <c r="AE37" s="2">
        <f t="shared" ref="AE37" si="591">AC37*$AE$2</f>
        <v>73752341.439999998</v>
      </c>
      <c r="AF37" s="2">
        <v>10000000</v>
      </c>
      <c r="AG37" s="8">
        <f t="shared" ref="AG37" si="592">+AF37/$AF$4</f>
        <v>1</v>
      </c>
      <c r="AH37" s="2">
        <v>2500000</v>
      </c>
      <c r="AI37" s="8">
        <f t="shared" ref="AI37" si="593">+AH37/$AH$4</f>
        <v>1</v>
      </c>
      <c r="AJ37" s="8">
        <f t="shared" ref="AJ37" si="594">+AC37/D37</f>
        <v>0.88894500240220564</v>
      </c>
      <c r="AK37" s="2">
        <v>1019072.82</v>
      </c>
      <c r="AL37" s="4">
        <f t="shared" ref="AL37" si="595">((+D37+AK37)-AC37)/D37</f>
        <v>0.12197321596947698</v>
      </c>
      <c r="AM37" s="4">
        <f t="shared" si="576"/>
        <v>0.93155110182627654</v>
      </c>
      <c r="AN37" s="4">
        <f t="shared" ref="AN37" si="596">+U37/$D37</f>
        <v>3.0373309427505005E-2</v>
      </c>
      <c r="AO37" s="4">
        <f t="shared" ref="AO37" si="597">+V37/$D37</f>
        <v>1.3499053403843385E-2</v>
      </c>
      <c r="AP37" s="4">
        <f t="shared" ref="AP37" si="598">+W37/$D37</f>
        <v>7.6684128683349364E-3</v>
      </c>
      <c r="AQ37" s="4">
        <f t="shared" ref="AQ37" si="599">+X37/$D37</f>
        <v>2.5741155043076062E-3</v>
      </c>
      <c r="AR37" s="4">
        <f t="shared" ref="AR37" si="600">+Y37/$D37</f>
        <v>1.9739671063666469E-3</v>
      </c>
      <c r="AS37" s="4">
        <f t="shared" ref="AS37" si="601">+Z37/$D37</f>
        <v>1.1700235647567766E-3</v>
      </c>
    </row>
    <row r="38" spans="1:45" x14ac:dyDescent="0.25">
      <c r="A38">
        <f t="shared" si="6"/>
        <v>34</v>
      </c>
      <c r="B38" s="3">
        <f t="shared" si="15"/>
        <v>45554</v>
      </c>
      <c r="C38" s="41">
        <v>2692</v>
      </c>
      <c r="D38" s="2">
        <v>93023821.879999995</v>
      </c>
      <c r="E38" s="32">
        <v>1.84E-2</v>
      </c>
      <c r="F38" s="8">
        <f t="shared" ref="F38" si="602">+D38/$D$4</f>
        <v>0.82687825273196602</v>
      </c>
      <c r="G38" s="2">
        <v>56874.44</v>
      </c>
      <c r="H38" s="8"/>
      <c r="I38" s="8"/>
      <c r="J38" s="8"/>
      <c r="K38" s="8"/>
      <c r="L38" s="8"/>
      <c r="M38" s="8"/>
      <c r="N38" s="6">
        <f t="shared" ref="N38" si="603">G38/D37</f>
        <v>6.0934561642725675E-4</v>
      </c>
      <c r="O38" s="6">
        <f t="shared" ref="O38" si="604">1-(+N38-1)^12</f>
        <v>7.2876911669375044E-3</v>
      </c>
      <c r="P38" s="40">
        <f t="shared" ref="P38" si="605">AVERAGE(O36:O38)</f>
        <v>1.2097360596089013E-2</v>
      </c>
      <c r="Q38" s="20">
        <f t="shared" ref="Q38" si="606">AVERAGE(O33:O38)</f>
        <v>1.2316218633115161E-2</v>
      </c>
      <c r="R38" s="20">
        <f t="shared" ref="R38" si="607">AVERAGE(O27:O38)</f>
        <v>1.1435732491491888E-2</v>
      </c>
      <c r="S38" s="11"/>
      <c r="T38" s="26">
        <v>86291210</v>
      </c>
      <c r="U38" s="26">
        <v>3182033</v>
      </c>
      <c r="V38" s="26">
        <v>1382717</v>
      </c>
      <c r="W38" s="26">
        <v>493680</v>
      </c>
      <c r="X38" s="26">
        <v>324059</v>
      </c>
      <c r="Y38" s="26">
        <v>148887</v>
      </c>
      <c r="Z38" s="26">
        <v>0</v>
      </c>
      <c r="AA38" s="26">
        <f t="shared" ref="AA38" si="608">AA37+Z38</f>
        <v>2292342.37</v>
      </c>
      <c r="AB38" s="4">
        <f t="shared" ref="AB38" si="609">AA38/$D$4</f>
        <v>2.0376372581361137E-2</v>
      </c>
      <c r="AC38" s="2">
        <v>82920552.879999995</v>
      </c>
      <c r="AD38" s="8">
        <f t="shared" ref="AD38" si="610">+AC38/$AC$4</f>
        <v>0.82920552879999998</v>
      </c>
      <c r="AE38" s="2">
        <f t="shared" ref="AE38" si="611">AC38*$AE$2</f>
        <v>73707158.115555555</v>
      </c>
      <c r="AF38" s="2">
        <v>10000000</v>
      </c>
      <c r="AG38" s="8">
        <f t="shared" ref="AG38" si="612">+AF38/$AF$4</f>
        <v>1</v>
      </c>
      <c r="AH38" s="2">
        <v>2500000</v>
      </c>
      <c r="AI38" s="8">
        <f t="shared" ref="AI38" si="613">+AH38/$AH$4</f>
        <v>1</v>
      </c>
      <c r="AJ38" s="8">
        <f t="shared" ref="AJ38" si="614">+AC38/D38</f>
        <v>0.89139051916149892</v>
      </c>
      <c r="AK38" s="2">
        <v>1016399.46</v>
      </c>
      <c r="AL38" s="4">
        <f t="shared" ref="AL38" si="615">((+D38+AK38)-AC38)/D38</f>
        <v>0.11953570854511093</v>
      </c>
      <c r="AM38" s="4">
        <f t="shared" si="576"/>
        <v>0.92762486270790923</v>
      </c>
      <c r="AN38" s="4">
        <f t="shared" ref="AN38" si="616">+U38/$D38</f>
        <v>3.4206646595372071E-2</v>
      </c>
      <c r="AO38" s="4">
        <f t="shared" ref="AO38" si="617">+V38/$D38</f>
        <v>1.4864117298724774E-2</v>
      </c>
      <c r="AP38" s="4">
        <f t="shared" ref="AP38" si="618">+W38/$D38</f>
        <v>5.3070277056219356E-3</v>
      </c>
      <c r="AQ38" s="4">
        <f t="shared" ref="AQ38" si="619">+X38/$D38</f>
        <v>3.4836130514830231E-3</v>
      </c>
      <c r="AR38" s="4">
        <f t="shared" ref="AR38" si="620">+Y38/$D38</f>
        <v>1.6005255104661585E-3</v>
      </c>
      <c r="AS38" s="4">
        <f t="shared" ref="AS38" si="621">+Z38/$D38</f>
        <v>0</v>
      </c>
    </row>
    <row r="39" spans="1:45" x14ac:dyDescent="0.25">
      <c r="A39">
        <f t="shared" si="6"/>
        <v>35</v>
      </c>
      <c r="B39" s="3">
        <f t="shared" si="15"/>
        <v>45585</v>
      </c>
      <c r="C39" s="41">
        <v>2691</v>
      </c>
      <c r="D39" s="2">
        <v>92742356.310000002</v>
      </c>
      <c r="E39" s="32">
        <v>1.84E-2</v>
      </c>
      <c r="F39" s="8">
        <f t="shared" ref="F39" si="622">+D39/$D$4</f>
        <v>0.82437633705034596</v>
      </c>
      <c r="G39" s="2">
        <v>36720.31</v>
      </c>
      <c r="H39" s="8"/>
      <c r="I39" s="8"/>
      <c r="J39" s="8"/>
      <c r="K39" s="8"/>
      <c r="L39" s="8"/>
      <c r="M39" s="8"/>
      <c r="N39" s="6">
        <f t="shared" ref="N39" si="623">G39/D38</f>
        <v>3.9474093041854281E-4</v>
      </c>
      <c r="O39" s="6">
        <f t="shared" ref="O39" si="624">1-(+N39-1)^12</f>
        <v>4.7266205383822424E-3</v>
      </c>
      <c r="P39" s="40">
        <f t="shared" ref="P39" si="625">AVERAGE(O37:O39)</f>
        <v>1.0435807808571859E-2</v>
      </c>
      <c r="Q39" s="20">
        <f t="shared" ref="Q39" si="626">AVERAGE(O34:O39)</f>
        <v>1.1016471697195699E-2</v>
      </c>
      <c r="R39" s="20">
        <f t="shared" ref="R39" si="627">AVERAGE(O28:O39)</f>
        <v>1.1285093625111292E-2</v>
      </c>
      <c r="S39" s="11"/>
      <c r="T39" s="26">
        <v>85805379</v>
      </c>
      <c r="U39" s="26">
        <v>3177472</v>
      </c>
      <c r="V39" s="26">
        <v>1532579</v>
      </c>
      <c r="W39" s="26">
        <v>408059</v>
      </c>
      <c r="X39" s="26">
        <v>242319</v>
      </c>
      <c r="Y39" s="26">
        <v>395555</v>
      </c>
      <c r="Z39" s="26">
        <v>74724.11</v>
      </c>
      <c r="AA39" s="26">
        <f t="shared" ref="AA39" si="628">AA38+Z39</f>
        <v>2367066.48</v>
      </c>
      <c r="AB39" s="4">
        <f t="shared" ref="AB39" si="629">AA39/$D$4</f>
        <v>2.1040586760751195E-2</v>
      </c>
      <c r="AC39" s="2">
        <v>82896382.890000001</v>
      </c>
      <c r="AD39" s="8">
        <f t="shared" ref="AD39" si="630">+AC39/$AC$4</f>
        <v>0.82896382889999998</v>
      </c>
      <c r="AE39" s="2">
        <f t="shared" ref="AE39" si="631">AC39*$AE$2</f>
        <v>73685673.679999992</v>
      </c>
      <c r="AF39" s="2">
        <v>10000000</v>
      </c>
      <c r="AG39" s="8">
        <f t="shared" ref="AG39" si="632">+AF39/$AF$4</f>
        <v>1</v>
      </c>
      <c r="AH39" s="2">
        <v>2500000</v>
      </c>
      <c r="AI39" s="8">
        <f t="shared" ref="AI39" si="633">+AH39/$AH$4</f>
        <v>1</v>
      </c>
      <c r="AJ39" s="8">
        <f t="shared" ref="AJ39" si="634">+AC39/D39</f>
        <v>0.89383520311809939</v>
      </c>
      <c r="AK39" s="2">
        <v>1015776.78</v>
      </c>
      <c r="AL39" s="4">
        <f t="shared" ref="AL39" si="635">((+D39+AK39)-AC39)/D39</f>
        <v>0.11711747072387925</v>
      </c>
      <c r="AM39" s="4">
        <f t="shared" si="576"/>
        <v>0.92520162754100721</v>
      </c>
      <c r="AN39" s="4">
        <f t="shared" ref="AN39" si="636">+U39/$D39</f>
        <v>3.4261281753280047E-2</v>
      </c>
      <c r="AO39" s="4">
        <f t="shared" ref="AO39" si="637">+V39/$D39</f>
        <v>1.6525124667710743E-2</v>
      </c>
      <c r="AP39" s="4">
        <f t="shared" ref="AP39" si="638">+W39/$D39</f>
        <v>4.3999205566443086E-3</v>
      </c>
      <c r="AQ39" s="4">
        <f t="shared" ref="AQ39" si="639">+X39/$D39</f>
        <v>2.6128191005847E-3</v>
      </c>
      <c r="AR39" s="4">
        <f t="shared" ref="AR39" si="640">+Y39/$D39</f>
        <v>4.2650954292968403E-3</v>
      </c>
      <c r="AS39" s="4">
        <f t="shared" ref="AS39" si="641">+Z39/$D39</f>
        <v>8.0571718223578089E-4</v>
      </c>
    </row>
    <row r="40" spans="1:45" x14ac:dyDescent="0.25">
      <c r="A40">
        <f t="shared" si="6"/>
        <v>36</v>
      </c>
      <c r="B40" s="3">
        <f t="shared" si="15"/>
        <v>45616</v>
      </c>
      <c r="C40" s="41">
        <v>2684</v>
      </c>
      <c r="D40" s="2">
        <v>92219755.689999998</v>
      </c>
      <c r="E40" s="32">
        <v>1.84E-2</v>
      </c>
      <c r="F40" s="8">
        <f t="shared" ref="F40" si="642">+D40/$D$4</f>
        <v>0.81973099912712355</v>
      </c>
      <c r="G40" s="2">
        <v>245421.93</v>
      </c>
      <c r="H40" s="8"/>
      <c r="I40" s="8"/>
      <c r="J40" s="8"/>
      <c r="K40" s="8"/>
      <c r="L40" s="8"/>
      <c r="M40" s="8"/>
      <c r="N40" s="6">
        <f t="shared" ref="N40" si="643">G40/D39</f>
        <v>2.6462766287677041E-3</v>
      </c>
      <c r="O40" s="6">
        <f t="shared" ref="O40" si="644">1-(+N40-1)^12</f>
        <v>3.1297188778140028E-2</v>
      </c>
      <c r="P40" s="40">
        <f t="shared" ref="P40" si="645">AVERAGE(O38:O40)</f>
        <v>1.4437166827819925E-2</v>
      </c>
      <c r="Q40" s="20">
        <f t="shared" ref="Q40" si="646">AVERAGE(O35:O40)</f>
        <v>1.3441299198531912E-2</v>
      </c>
      <c r="R40" s="20">
        <f t="shared" ref="R40" si="647">AVERAGE(O29:O40)</f>
        <v>1.290360012609415E-2</v>
      </c>
      <c r="S40" s="11"/>
      <c r="T40" s="26">
        <v>85835470</v>
      </c>
      <c r="U40" s="26">
        <v>2909996</v>
      </c>
      <c r="V40" s="26">
        <v>1179328</v>
      </c>
      <c r="W40" s="26">
        <v>391110</v>
      </c>
      <c r="X40" s="26">
        <v>311636</v>
      </c>
      <c r="Y40" s="26">
        <v>253873</v>
      </c>
      <c r="Z40" s="26">
        <v>98814.29</v>
      </c>
      <c r="AA40" s="26">
        <f t="shared" ref="AA40" si="648">AA39+Z40</f>
        <v>2465880.77</v>
      </c>
      <c r="AB40" s="4">
        <f t="shared" ref="AB40" si="649">AA40/$D$4</f>
        <v>2.1918935831009258E-2</v>
      </c>
      <c r="AC40" s="2">
        <v>82656159.390000001</v>
      </c>
      <c r="AD40" s="8">
        <f t="shared" ref="AD40" si="650">+AC40/$AC$4</f>
        <v>0.82656159390000006</v>
      </c>
      <c r="AE40" s="2">
        <f t="shared" ref="AE40" si="651">AC40*$AE$2</f>
        <v>73472141.679999992</v>
      </c>
      <c r="AF40" s="2">
        <v>10000000</v>
      </c>
      <c r="AG40" s="8">
        <f t="shared" ref="AG40" si="652">+AF40/$AF$4</f>
        <v>1</v>
      </c>
      <c r="AH40" s="2">
        <v>2500000</v>
      </c>
      <c r="AI40" s="8">
        <f t="shared" ref="AI40" si="653">+AH40/$AH$4</f>
        <v>1</v>
      </c>
      <c r="AJ40" s="8">
        <f t="shared" ref="AJ40" si="654">+AC40/D40</f>
        <v>0.89629557974379837</v>
      </c>
      <c r="AK40" s="2">
        <v>1015480.68</v>
      </c>
      <c r="AL40" s="4">
        <f t="shared" ref="AL40" si="655">((+D40+AK40)-AC40)/D40</f>
        <v>0.11471595105458693</v>
      </c>
      <c r="AM40" s="4">
        <f t="shared" si="576"/>
        <v>0.93077095420355482</v>
      </c>
      <c r="AN40" s="4">
        <f t="shared" ref="AN40" si="656">+U40/$D40</f>
        <v>3.1555017449645555E-2</v>
      </c>
      <c r="AO40" s="4">
        <f t="shared" ref="AO40" si="657">+V40/$D40</f>
        <v>1.278823600405485E-2</v>
      </c>
      <c r="AP40" s="4">
        <f t="shared" ref="AP40" si="658">+W40/$D40</f>
        <v>4.2410652367669485E-3</v>
      </c>
      <c r="AQ40" s="4">
        <f t="shared" ref="AQ40" si="659">+X40/$D40</f>
        <v>3.3792759226946504E-3</v>
      </c>
      <c r="AR40" s="4">
        <f t="shared" ref="AR40" si="660">+Y40/$D40</f>
        <v>2.75291338716406E-3</v>
      </c>
      <c r="AS40" s="4">
        <f t="shared" ref="AS40" si="661">+Z40/$D40</f>
        <v>1.0715089110859039E-3</v>
      </c>
    </row>
    <row r="41" spans="1:45" x14ac:dyDescent="0.25">
      <c r="A41">
        <f t="shared" si="6"/>
        <v>37</v>
      </c>
      <c r="B41" s="3">
        <f t="shared" si="15"/>
        <v>45647</v>
      </c>
      <c r="C41" s="41">
        <v>2680</v>
      </c>
      <c r="D41" s="2">
        <v>91908184.239999995</v>
      </c>
      <c r="E41" s="32">
        <v>1.84E-2</v>
      </c>
      <c r="F41" s="8">
        <f t="shared" ref="F41" si="662">+D41/$D$4</f>
        <v>0.8169614756763508</v>
      </c>
      <c r="G41" s="2">
        <v>89764.07</v>
      </c>
      <c r="H41" s="8"/>
      <c r="I41" s="8"/>
      <c r="J41" s="8"/>
      <c r="K41" s="8"/>
      <c r="L41" s="8"/>
      <c r="M41" s="8"/>
      <c r="N41" s="6">
        <f t="shared" ref="N41" si="663">G41/D40</f>
        <v>9.7337137068271066E-4</v>
      </c>
      <c r="O41" s="6">
        <f t="shared" ref="O41" si="664">1-(+N41-1)^12</f>
        <v>1.1618127073018791E-2</v>
      </c>
      <c r="P41" s="40">
        <f t="shared" ref="P41" si="665">AVERAGE(O39:O41)</f>
        <v>1.5880645463180354E-2</v>
      </c>
      <c r="Q41" s="20">
        <f t="shared" ref="Q41" si="666">AVERAGE(O36:O41)</f>
        <v>1.3989003029634683E-2</v>
      </c>
      <c r="R41" s="20">
        <f t="shared" ref="R41" si="667">AVERAGE(O30:O41)</f>
        <v>1.365601444629802E-2</v>
      </c>
      <c r="S41" s="11"/>
      <c r="T41" s="26">
        <v>84675989</v>
      </c>
      <c r="U41" s="26">
        <v>3436754</v>
      </c>
      <c r="V41" s="26">
        <v>1523033</v>
      </c>
      <c r="W41" s="26">
        <v>340285</v>
      </c>
      <c r="X41" s="26">
        <v>214358</v>
      </c>
      <c r="Y41" s="26">
        <v>394237</v>
      </c>
      <c r="Z41" s="26">
        <v>58709.78</v>
      </c>
      <c r="AA41" s="26">
        <f t="shared" ref="AA41" si="668">AA40+Z41</f>
        <v>2524590.5499999998</v>
      </c>
      <c r="AB41" s="4">
        <f t="shared" ref="AB41" si="669">AA41/$D$4</f>
        <v>2.2440800438628818E-2</v>
      </c>
      <c r="AC41" s="2">
        <v>82613379.950000003</v>
      </c>
      <c r="AD41" s="8">
        <f t="shared" ref="AD41" si="670">+AC41/$AC$4</f>
        <v>0.82613379949999999</v>
      </c>
      <c r="AE41" s="2">
        <f t="shared" ref="AE41" si="671">AC41*$AE$2</f>
        <v>73434115.51111111</v>
      </c>
      <c r="AF41" s="2">
        <v>10000000</v>
      </c>
      <c r="AG41" s="8">
        <f t="shared" ref="AG41" si="672">+AF41/$AF$4</f>
        <v>1</v>
      </c>
      <c r="AH41" s="2">
        <v>2500000</v>
      </c>
      <c r="AI41" s="8">
        <f t="shared" ref="AI41" si="673">+AH41/$AH$4</f>
        <v>1</v>
      </c>
      <c r="AJ41" s="8">
        <f t="shared" ref="AJ41" si="674">+AC41/D41</f>
        <v>0.89886858970330152</v>
      </c>
      <c r="AK41" s="2">
        <v>1012537.95</v>
      </c>
      <c r="AL41" s="4">
        <f t="shared" ref="AL41" si="675">((+D41+AK41)-AC41)/D41</f>
        <v>0.1121482523589457</v>
      </c>
      <c r="AM41" s="4">
        <f t="shared" si="576"/>
        <v>0.92131065040829718</v>
      </c>
      <c r="AN41" s="4">
        <f t="shared" ref="AN41" si="676">+U41/$D41</f>
        <v>3.7393340195097304E-2</v>
      </c>
      <c r="AO41" s="4">
        <f t="shared" ref="AO41" si="677">+V41/$D41</f>
        <v>1.6571244580601236E-2</v>
      </c>
      <c r="AP41" s="4">
        <f t="shared" ref="AP41" si="678">+W41/$D41</f>
        <v>3.7024450304818687E-3</v>
      </c>
      <c r="AQ41" s="4">
        <f t="shared" ref="AQ41" si="679">+X41/$D41</f>
        <v>2.3323058960695664E-3</v>
      </c>
      <c r="AR41" s="4">
        <f t="shared" ref="AR41" si="680">+Y41/$D41</f>
        <v>4.2894656581456145E-3</v>
      </c>
      <c r="AS41" s="4">
        <f t="shared" ref="AS41" si="681">+Z41/$D41</f>
        <v>6.387872906583711E-4</v>
      </c>
    </row>
    <row r="42" spans="1:45" x14ac:dyDescent="0.25">
      <c r="A42">
        <f t="shared" si="6"/>
        <v>38</v>
      </c>
      <c r="B42" s="3">
        <f t="shared" si="15"/>
        <v>45678</v>
      </c>
      <c r="C42" s="41">
        <v>2679</v>
      </c>
      <c r="D42" s="2">
        <v>91583239.379999995</v>
      </c>
      <c r="E42" s="32">
        <v>1.84E-2</v>
      </c>
      <c r="F42" s="8">
        <f t="shared" ref="F42" si="682">+D42/$D$4</f>
        <v>0.8140730774935967</v>
      </c>
      <c r="G42" s="2">
        <v>36624.6</v>
      </c>
      <c r="H42" s="8"/>
      <c r="I42" s="8"/>
      <c r="J42" s="8"/>
      <c r="K42" s="8"/>
      <c r="L42" s="8"/>
      <c r="M42" s="8"/>
      <c r="N42" s="6">
        <f t="shared" ref="N42" si="683">G42/D41</f>
        <v>3.9849117141039494E-4</v>
      </c>
      <c r="O42" s="6">
        <f t="shared" ref="O42" si="684">1-(+N42-1)^12</f>
        <v>4.7714274816159641E-3</v>
      </c>
      <c r="P42" s="40">
        <f t="shared" ref="P42" si="685">AVERAGE(O40:O42)</f>
        <v>1.5895581110924928E-2</v>
      </c>
      <c r="Q42" s="20">
        <f t="shared" ref="Q42" si="686">AVERAGE(O37:O42)</f>
        <v>1.3165694459748392E-2</v>
      </c>
      <c r="R42" s="20">
        <f t="shared" ref="R42" si="687">AVERAGE(O31:O42)</f>
        <v>1.2490533551977998E-2</v>
      </c>
      <c r="S42" s="11"/>
      <c r="T42" s="26">
        <v>84871245</v>
      </c>
      <c r="U42" s="26">
        <v>2832084</v>
      </c>
      <c r="V42" s="26">
        <v>1811585</v>
      </c>
      <c r="W42" s="26">
        <v>232602</v>
      </c>
      <c r="X42" s="26">
        <v>133996</v>
      </c>
      <c r="Y42" s="26">
        <v>123024</v>
      </c>
      <c r="Z42" s="26">
        <v>216601.02</v>
      </c>
      <c r="AA42" s="26">
        <f t="shared" ref="AA42" si="688">AA41+Z42</f>
        <v>2741191.57</v>
      </c>
      <c r="AB42" s="4">
        <f t="shared" ref="AB42" si="689">AA42/$D$4</f>
        <v>2.4366142456812102E-2</v>
      </c>
      <c r="AC42" s="2">
        <v>82536938.579999998</v>
      </c>
      <c r="AD42" s="8">
        <f t="shared" ref="AD42" si="690">+AC42/$AC$4</f>
        <v>0.82536938579999997</v>
      </c>
      <c r="AE42" s="2">
        <f t="shared" ref="AE42" si="691">AC42*$AE$2</f>
        <v>73366167.626666665</v>
      </c>
      <c r="AF42" s="2">
        <v>10000000</v>
      </c>
      <c r="AG42" s="8">
        <f t="shared" ref="AG42" si="692">+AF42/$AF$4</f>
        <v>1</v>
      </c>
      <c r="AH42" s="2">
        <v>2500000</v>
      </c>
      <c r="AI42" s="8">
        <f t="shared" ref="AI42" si="693">+AH42/$AH$4</f>
        <v>1</v>
      </c>
      <c r="AJ42" s="8">
        <f t="shared" ref="AJ42" si="694">+AC42/D42</f>
        <v>0.90122318383536526</v>
      </c>
      <c r="AK42" s="2">
        <v>1012013.91</v>
      </c>
      <c r="AL42" s="4">
        <f t="shared" ref="AL42" si="695">((+D42+AK42)-AC42)/D42</f>
        <v>0.10982702488023736</v>
      </c>
      <c r="AM42" s="4">
        <f t="shared" ref="AM42" si="696">+T42/$D42</f>
        <v>0.92671154213981899</v>
      </c>
      <c r="AN42" s="4">
        <f t="shared" ref="AN42" si="697">+U42/$D42</f>
        <v>3.0923605882174902E-2</v>
      </c>
      <c r="AO42" s="4">
        <f t="shared" ref="AO42" si="698">+V42/$D42</f>
        <v>1.9780748227121732E-2</v>
      </c>
      <c r="AP42" s="4">
        <f t="shared" ref="AP42" si="699">+W42/$D42</f>
        <v>2.5397878648393364E-3</v>
      </c>
      <c r="AQ42" s="4">
        <f t="shared" ref="AQ42" si="700">+X42/$D42</f>
        <v>1.4631061415508538E-3</v>
      </c>
      <c r="AR42" s="4">
        <f t="shared" ref="AR42" si="701">+Y42/$D42</f>
        <v>1.3433025609581796E-3</v>
      </c>
      <c r="AS42" s="4">
        <f t="shared" ref="AS42" si="702">+Z42/$D42</f>
        <v>2.3650727083508408E-3</v>
      </c>
    </row>
    <row r="43" spans="1:45" x14ac:dyDescent="0.25">
      <c r="A43">
        <f t="shared" si="6"/>
        <v>39</v>
      </c>
      <c r="B43" s="3">
        <f t="shared" si="15"/>
        <v>45709</v>
      </c>
      <c r="C43" s="41">
        <v>2678</v>
      </c>
      <c r="D43" s="2">
        <v>91304033.689999998</v>
      </c>
      <c r="E43" s="32">
        <v>1.84E-2</v>
      </c>
      <c r="F43" s="8">
        <f t="shared" ref="F43" si="703">+D43/$D$4</f>
        <v>0.81159124963021523</v>
      </c>
      <c r="G43" s="2">
        <v>28074.76</v>
      </c>
      <c r="H43" s="8"/>
      <c r="I43" s="8"/>
      <c r="J43" s="8"/>
      <c r="K43" s="8"/>
      <c r="L43" s="8"/>
      <c r="M43" s="8"/>
      <c r="N43" s="6">
        <f t="shared" ref="N43" si="704">G43/D42</f>
        <v>3.0654910429092099E-4</v>
      </c>
      <c r="O43" s="6">
        <f t="shared" ref="O43" si="705">1-(+N43-1)^12</f>
        <v>3.6723934093726429E-3</v>
      </c>
      <c r="P43" s="40">
        <f t="shared" ref="P43" si="706">AVERAGE(O41:O43)</f>
        <v>6.6873159880024664E-3</v>
      </c>
      <c r="Q43" s="20">
        <f t="shared" ref="Q43" si="707">AVERAGE(O38:O43)</f>
        <v>1.0562241407911196E-2</v>
      </c>
      <c r="R43" s="20">
        <f t="shared" ref="R43" si="708">AVERAGE(O32:O43)</f>
        <v>1.1367204198574029E-2</v>
      </c>
      <c r="S43" s="11"/>
      <c r="T43" s="26">
        <v>84427059</v>
      </c>
      <c r="U43" s="26">
        <v>3483871</v>
      </c>
      <c r="V43" s="26">
        <v>1264446</v>
      </c>
      <c r="W43" s="26">
        <v>328709</v>
      </c>
      <c r="X43" s="26">
        <v>125026</v>
      </c>
      <c r="Y43" s="26">
        <v>40215</v>
      </c>
      <c r="Z43" s="26">
        <v>66244.259999999995</v>
      </c>
      <c r="AA43" s="26">
        <f t="shared" ref="AA43" si="709">AA42+Z43</f>
        <v>2807435.8299999996</v>
      </c>
      <c r="AB43" s="4">
        <f t="shared" ref="AB43" si="710">AA43/$D$4</f>
        <v>2.4954980206705699E-2</v>
      </c>
      <c r="AC43" s="2">
        <v>82506971.769999996</v>
      </c>
      <c r="AD43" s="8">
        <f t="shared" ref="AD43" si="711">+AC43/$AC$4</f>
        <v>0.82506971769999993</v>
      </c>
      <c r="AE43" s="2">
        <f t="shared" ref="AE43" si="712">AC43*$AE$2</f>
        <v>73339530.462222219</v>
      </c>
      <c r="AF43" s="2">
        <v>10000000</v>
      </c>
      <c r="AG43" s="8">
        <f t="shared" ref="AG43" si="713">+AF43/$AF$4</f>
        <v>1</v>
      </c>
      <c r="AH43" s="2">
        <v>2500000</v>
      </c>
      <c r="AI43" s="8">
        <f t="shared" ref="AI43" si="714">+AH43/$AH$4</f>
        <v>1</v>
      </c>
      <c r="AJ43" s="8">
        <f t="shared" ref="AJ43" si="715">+AC43/D43</f>
        <v>0.90365089509771035</v>
      </c>
      <c r="AK43" s="2">
        <f>337025.83*3</f>
        <v>1011077.49</v>
      </c>
      <c r="AL43" s="4">
        <f t="shared" ref="AL43" si="716">((+D43+AK43)-AC43)/D43</f>
        <v>0.10742284884478466</v>
      </c>
      <c r="AM43" s="4">
        <f t="shared" ref="AM43" si="717">+T43/$D43</f>
        <v>0.92468049425560928</v>
      </c>
      <c r="AN43" s="4">
        <f t="shared" ref="AN43" si="718">+U43/$D43</f>
        <v>3.8156813660923376E-2</v>
      </c>
      <c r="AO43" s="4">
        <f t="shared" ref="AO43" si="719">+V43/$D43</f>
        <v>1.3848741932838478E-2</v>
      </c>
      <c r="AP43" s="4">
        <f t="shared" ref="AP43" si="720">+W43/$D43</f>
        <v>3.6001585769589233E-3</v>
      </c>
      <c r="AQ43" s="4">
        <f t="shared" ref="AQ43" si="721">+X43/$D43</f>
        <v>1.369337092208812E-3</v>
      </c>
      <c r="AR43" s="4">
        <f t="shared" ref="AR43" si="722">+Y43/$D43</f>
        <v>4.4045151539021782E-4</v>
      </c>
      <c r="AS43" s="4">
        <f t="shared" ref="AS43" si="723">+Z43/$D43</f>
        <v>7.2553486765892302E-4</v>
      </c>
    </row>
    <row r="44" spans="1:45" x14ac:dyDescent="0.25">
      <c r="A44">
        <f t="shared" si="6"/>
        <v>40</v>
      </c>
      <c r="B44" s="3">
        <f t="shared" si="15"/>
        <v>45740</v>
      </c>
      <c r="C44" s="41">
        <v>2676</v>
      </c>
      <c r="D44" s="2">
        <v>91040012.700000003</v>
      </c>
      <c r="E44" s="32">
        <v>1.84E-2</v>
      </c>
      <c r="F44" s="8">
        <f t="shared" ref="F44" si="724">+D44/$D$4</f>
        <v>0.80924439685117788</v>
      </c>
      <c r="G44" s="2">
        <v>63231.32</v>
      </c>
      <c r="H44" s="8"/>
      <c r="I44" s="8"/>
      <c r="J44" s="8"/>
      <c r="K44" s="8"/>
      <c r="L44" s="8"/>
      <c r="M44" s="8"/>
      <c r="N44" s="6">
        <f t="shared" ref="N44" si="725">G44/D43</f>
        <v>6.9253588745800789E-4</v>
      </c>
      <c r="O44" s="6">
        <f t="shared" ref="O44" si="726">1-(+N44-1)^12</f>
        <v>8.2788496144574619E-3</v>
      </c>
      <c r="P44" s="40">
        <f t="shared" ref="P44" si="727">AVERAGE(O42:O44)</f>
        <v>5.5742235018153563E-3</v>
      </c>
      <c r="Q44" s="20">
        <f t="shared" ref="Q44" si="728">AVERAGE(O39:O44)</f>
        <v>1.0727434482497855E-2</v>
      </c>
      <c r="R44" s="20">
        <f t="shared" ref="R44" si="729">AVERAGE(O33:O44)</f>
        <v>1.1521826557806508E-2</v>
      </c>
      <c r="S44" s="11"/>
      <c r="T44" s="26">
        <v>83590701</v>
      </c>
      <c r="U44" s="26">
        <v>3124222</v>
      </c>
      <c r="V44" s="26">
        <v>2038282</v>
      </c>
      <c r="W44" s="26">
        <v>413076</v>
      </c>
      <c r="X44" s="26">
        <v>171191</v>
      </c>
      <c r="Y44" s="26">
        <v>139777</v>
      </c>
      <c r="Z44" s="26">
        <v>0</v>
      </c>
      <c r="AA44" s="26">
        <f t="shared" ref="AA44" si="730">AA43+Z44</f>
        <v>2807435.8299999996</v>
      </c>
      <c r="AB44" s="4">
        <f t="shared" ref="AB44" si="731">AA44/$D$4</f>
        <v>2.4954980206705699E-2</v>
      </c>
      <c r="AC44" s="2">
        <v>82506971.769999996</v>
      </c>
      <c r="AD44" s="8">
        <f t="shared" ref="AD44" si="732">+AC44/$AC$4</f>
        <v>0.82506971769999993</v>
      </c>
      <c r="AE44" s="2">
        <f t="shared" ref="AE44" si="733">AC44*$AE$2</f>
        <v>73339530.462222219</v>
      </c>
      <c r="AF44" s="2">
        <v>10000000</v>
      </c>
      <c r="AG44" s="8">
        <f t="shared" ref="AG44" si="734">+AF44/$AF$4</f>
        <v>1</v>
      </c>
      <c r="AH44" s="2">
        <v>2500000</v>
      </c>
      <c r="AI44" s="8">
        <f t="shared" ref="AI44" si="735">+AH44/$AH$4</f>
        <v>1</v>
      </c>
      <c r="AJ44" s="8">
        <f t="shared" ref="AJ44" si="736">+AC44/D44</f>
        <v>0.90627153185799136</v>
      </c>
      <c r="AK44" s="2">
        <f>336903.47*3</f>
        <v>1010710.4099999999</v>
      </c>
      <c r="AL44" s="4">
        <f t="shared" ref="AL44" si="737">((+D44+AK44)-AC44)/D44</f>
        <v>0.10483029447116941</v>
      </c>
      <c r="AM44" s="4">
        <f t="shared" ref="AM44" si="738">+T44/$D44</f>
        <v>0.91817541014029314</v>
      </c>
      <c r="AN44" s="4">
        <f t="shared" ref="AN44" si="739">+U44/$D44</f>
        <v>3.4317020696109812E-2</v>
      </c>
      <c r="AO44" s="4">
        <f t="shared" ref="AO44" si="740">+V44/$D44</f>
        <v>2.2388858915438178E-2</v>
      </c>
      <c r="AP44" s="4">
        <f t="shared" ref="AP44" si="741">+W44/$D44</f>
        <v>4.5373016517604239E-3</v>
      </c>
      <c r="AQ44" s="4">
        <f t="shared" ref="AQ44" si="742">+X44/$D44</f>
        <v>1.8803929714302423E-3</v>
      </c>
      <c r="AR44" s="4">
        <f t="shared" ref="AR44" si="743">+Y44/$D44</f>
        <v>1.5353359018149609E-3</v>
      </c>
      <c r="AS44" s="4">
        <f t="shared" ref="AS44" si="744">+Z44/$D44</f>
        <v>0</v>
      </c>
    </row>
    <row r="45" spans="1:45" x14ac:dyDescent="0.25">
      <c r="A45">
        <f t="shared" si="6"/>
        <v>41</v>
      </c>
      <c r="B45" s="3">
        <f t="shared" si="15"/>
        <v>45771</v>
      </c>
      <c r="C45" s="41">
        <v>2674</v>
      </c>
      <c r="D45" s="2">
        <v>90719450.700000003</v>
      </c>
      <c r="E45" s="32">
        <v>1.84E-2</v>
      </c>
      <c r="F45" s="8">
        <f t="shared" ref="F45" si="745">+D45/$D$4</f>
        <v>0.80639495741625333</v>
      </c>
      <c r="G45" s="2">
        <v>51499.9</v>
      </c>
      <c r="H45" s="8"/>
      <c r="I45" s="8"/>
      <c r="J45" s="8"/>
      <c r="K45" s="8"/>
      <c r="L45" s="8"/>
      <c r="M45" s="8"/>
      <c r="N45" s="6">
        <f t="shared" ref="N45" si="746">G45/D44</f>
        <v>5.6568423567454097E-4</v>
      </c>
      <c r="O45" s="6">
        <f t="shared" ref="O45" si="747">1-(+N45-1)^12</f>
        <v>6.7671306902584716E-3</v>
      </c>
      <c r="P45" s="40">
        <f t="shared" ref="P45" si="748">AVERAGE(O43:O45)</f>
        <v>6.2394579046961924E-3</v>
      </c>
      <c r="Q45" s="20">
        <f t="shared" ref="Q45" si="749">AVERAGE(O40:O45)</f>
        <v>1.1067519507810561E-2</v>
      </c>
      <c r="R45" s="20">
        <f t="shared" ref="R45" si="750">AVERAGE(O34:O45)</f>
        <v>1.104199560250313E-2</v>
      </c>
      <c r="S45" s="11"/>
      <c r="T45" s="26">
        <v>83571689</v>
      </c>
      <c r="U45" s="26">
        <v>3113678</v>
      </c>
      <c r="V45" s="26">
        <v>1700829</v>
      </c>
      <c r="W45" s="26">
        <v>491419</v>
      </c>
      <c r="X45" s="26">
        <v>117300</v>
      </c>
      <c r="Y45" s="26">
        <v>125175</v>
      </c>
      <c r="Z45" s="26">
        <v>37471.39</v>
      </c>
      <c r="AA45" s="26">
        <f t="shared" ref="AA45" si="751">AA44+Z45</f>
        <v>2844907.2199999997</v>
      </c>
      <c r="AB45" s="4">
        <f t="shared" ref="AB45" si="752">AA45/$D$4</f>
        <v>2.5288059162874663E-2</v>
      </c>
      <c r="AC45" s="2">
        <v>82442937.760000005</v>
      </c>
      <c r="AD45" s="8">
        <f t="shared" ref="AD45" si="753">+AC45/$AC$4</f>
        <v>0.82442937760000001</v>
      </c>
      <c r="AE45" s="2">
        <f t="shared" ref="AE45" si="754">AC45*$AE$2</f>
        <v>73282611.342222229</v>
      </c>
      <c r="AF45" s="2">
        <v>10000000</v>
      </c>
      <c r="AG45" s="8">
        <f t="shared" ref="AG45" si="755">+AF45/$AF$4</f>
        <v>1</v>
      </c>
      <c r="AH45" s="2">
        <v>2500000</v>
      </c>
      <c r="AI45" s="8">
        <f t="shared" ref="AI45" si="756">+AH45/$AH$4</f>
        <v>1</v>
      </c>
      <c r="AJ45" s="8">
        <f t="shared" ref="AJ45" si="757">+AC45/D45</f>
        <v>0.90876804394054822</v>
      </c>
      <c r="AK45" s="2">
        <f>336903.47*3</f>
        <v>1010710.4099999999</v>
      </c>
      <c r="AL45" s="4">
        <f t="shared" ref="AL45" si="758">((+D45+AK45)-AC45)/D45</f>
        <v>0.10237301128191238</v>
      </c>
      <c r="AM45" s="4">
        <f t="shared" ref="AM45" si="759">+T45/$D45</f>
        <v>0.92121026257492533</v>
      </c>
      <c r="AN45" s="4">
        <f t="shared" ref="AN45" si="760">+U45/$D45</f>
        <v>3.4322055259093404E-2</v>
      </c>
      <c r="AO45" s="4">
        <f t="shared" ref="AO45" si="761">+V45/$D45</f>
        <v>1.87482285979053E-2</v>
      </c>
      <c r="AP45" s="4">
        <f t="shared" ref="AP45" si="762">+W45/$D45</f>
        <v>5.4169089011029473E-3</v>
      </c>
      <c r="AQ45" s="4">
        <f t="shared" ref="AQ45" si="763">+X45/$D45</f>
        <v>1.2929972469509232E-3</v>
      </c>
      <c r="AR45" s="4">
        <f t="shared" ref="AR45" si="764">+Y45/$D45</f>
        <v>1.3798033281081142E-3</v>
      </c>
      <c r="AS45" s="4">
        <f t="shared" ref="AS45" si="765">+Z45/$D45</f>
        <v>4.1304692335400131E-4</v>
      </c>
    </row>
    <row r="46" spans="1:45" x14ac:dyDescent="0.25">
      <c r="A46">
        <f t="shared" si="6"/>
        <v>42</v>
      </c>
      <c r="B46" s="3">
        <f t="shared" si="15"/>
        <v>45802</v>
      </c>
      <c r="C46" s="41">
        <v>2672</v>
      </c>
      <c r="D46" s="2">
        <v>90354574.040000007</v>
      </c>
      <c r="E46" s="32">
        <v>1.84E-2</v>
      </c>
      <c r="F46" s="8">
        <f t="shared" ref="F46" si="766">+D46/$D$4</f>
        <v>0.80315160997055635</v>
      </c>
      <c r="G46" s="2">
        <v>103682.79</v>
      </c>
      <c r="H46" s="8"/>
      <c r="I46" s="8"/>
      <c r="J46" s="8"/>
      <c r="K46" s="8"/>
      <c r="L46" s="8"/>
      <c r="M46" s="8"/>
      <c r="N46" s="6">
        <f t="shared" ref="N46" si="767">G46/D45</f>
        <v>1.1428948169325719E-3</v>
      </c>
      <c r="O46" s="6">
        <f t="shared" ref="O46" si="768">1-(+N46-1)^12</f>
        <v>1.362885562402294E-2</v>
      </c>
      <c r="P46" s="40">
        <f t="shared" ref="P46" si="769">AVERAGE(O44:O46)</f>
        <v>9.5582786429129572E-3</v>
      </c>
      <c r="Q46" s="20">
        <f t="shared" ref="Q46" si="770">AVERAGE(O41:O46)</f>
        <v>8.1227973154577113E-3</v>
      </c>
      <c r="R46" s="20">
        <f t="shared" ref="R46" si="771">AVERAGE(O35:O46)</f>
        <v>1.0782048256994812E-2</v>
      </c>
      <c r="S46" s="11"/>
      <c r="T46" s="26">
        <v>82928080</v>
      </c>
      <c r="U46" s="26">
        <v>3376162</v>
      </c>
      <c r="V46" s="26">
        <v>1527201</v>
      </c>
      <c r="W46" s="26">
        <v>588659</v>
      </c>
      <c r="X46" s="26">
        <v>146499</v>
      </c>
      <c r="Y46" s="26">
        <v>117453</v>
      </c>
      <c r="Z46" s="26">
        <v>35482.26</v>
      </c>
      <c r="AA46" s="26">
        <f t="shared" ref="AA46" si="772">AA45+Z46</f>
        <v>2880389.4799999995</v>
      </c>
      <c r="AB46" s="4">
        <f t="shared" ref="AB46" si="773">AA46/$D$4</f>
        <v>2.560345696699444E-2</v>
      </c>
      <c r="AC46" s="2">
        <v>82342591.010000005</v>
      </c>
      <c r="AD46" s="8">
        <f t="shared" ref="AD46" si="774">+AC46/$AC$4</f>
        <v>0.8234259101000001</v>
      </c>
      <c r="AE46" s="2">
        <f t="shared" ref="AE46" si="775">AC46*$AE$2</f>
        <v>73193414.231111109</v>
      </c>
      <c r="AF46" s="2">
        <v>10000000</v>
      </c>
      <c r="AG46" s="8">
        <f t="shared" ref="AG46" si="776">+AF46/$AF$4</f>
        <v>1</v>
      </c>
      <c r="AH46" s="2">
        <v>2500000</v>
      </c>
      <c r="AI46" s="8">
        <f t="shared" ref="AI46" si="777">+AH46/$AH$4</f>
        <v>1</v>
      </c>
      <c r="AJ46" s="8">
        <f t="shared" ref="AJ46" si="778">+AC46/D46</f>
        <v>0.91132731115025689</v>
      </c>
      <c r="AK46" s="2">
        <f>336642*3</f>
        <v>1009926</v>
      </c>
      <c r="AL46" s="4">
        <f t="shared" ref="AL46" si="779">((+D46+AK46)-AC46)/D46</f>
        <v>9.9850053258023194E-2</v>
      </c>
      <c r="AM46" s="4">
        <f t="shared" ref="AM46" si="780">+T46/$D46</f>
        <v>0.91780721541875354</v>
      </c>
      <c r="AN46" s="4">
        <f t="shared" ref="AN46" si="781">+U46/$D46</f>
        <v>3.7365701026993631E-2</v>
      </c>
      <c r="AO46" s="4">
        <f t="shared" ref="AO46" si="782">+V46/$D46</f>
        <v>1.6902309774864385E-2</v>
      </c>
      <c r="AP46" s="4">
        <f t="shared" ref="AP46" si="783">+W46/$D46</f>
        <v>6.5149883805483986E-3</v>
      </c>
      <c r="AQ46" s="4">
        <f t="shared" ref="AQ46" si="784">+X46/$D46</f>
        <v>1.6213789014726009E-3</v>
      </c>
      <c r="AR46" s="4">
        <f t="shared" ref="AR46" si="785">+Y46/$D46</f>
        <v>1.2999120547898717E-3</v>
      </c>
      <c r="AS46" s="4">
        <f t="shared" ref="AS46" si="786">+Z46/$D46</f>
        <v>3.9270020778684644E-4</v>
      </c>
    </row>
    <row r="47" spans="1:45" x14ac:dyDescent="0.25">
      <c r="A47">
        <f t="shared" si="6"/>
        <v>43</v>
      </c>
      <c r="B47" s="3">
        <f t="shared" si="15"/>
        <v>45833</v>
      </c>
      <c r="C47" s="41">
        <v>2670</v>
      </c>
      <c r="D47" s="2">
        <v>90045604.900000006</v>
      </c>
      <c r="E47" s="32">
        <v>1.8499999999999999E-2</v>
      </c>
      <c r="F47" s="8">
        <f t="shared" ref="F47" si="787">+D47/$D$4</f>
        <v>0.80040521815964072</v>
      </c>
      <c r="G47" s="2">
        <v>53927.83</v>
      </c>
      <c r="H47" s="8"/>
      <c r="I47" s="8"/>
      <c r="J47" s="8"/>
      <c r="K47" s="8"/>
      <c r="L47" s="8"/>
      <c r="M47" s="8"/>
      <c r="N47" s="6">
        <f t="shared" ref="N47" si="788">G47/D46</f>
        <v>5.9684670724169571E-4</v>
      </c>
      <c r="O47" s="6">
        <f t="shared" ref="O47" si="789">1-(+N47-1)^12</f>
        <v>7.1386962833862588E-3</v>
      </c>
      <c r="P47" s="40">
        <f t="shared" ref="P47" si="790">AVERAGE(O45:O47)</f>
        <v>9.1782275325558906E-3</v>
      </c>
      <c r="Q47" s="20">
        <f t="shared" ref="Q47" si="791">AVERAGE(O42:O47)</f>
        <v>7.3762255171856235E-3</v>
      </c>
      <c r="R47" s="20">
        <f t="shared" ref="R47" si="792">AVERAGE(O36:O47)</f>
        <v>1.0682614273410154E-2</v>
      </c>
      <c r="S47" s="11"/>
      <c r="T47" s="26">
        <v>82530831</v>
      </c>
      <c r="U47" s="26">
        <v>3627488</v>
      </c>
      <c r="V47" s="26">
        <v>1406533</v>
      </c>
      <c r="W47" s="26">
        <v>465395</v>
      </c>
      <c r="X47" s="26">
        <v>164568</v>
      </c>
      <c r="Y47" s="26">
        <v>87982</v>
      </c>
      <c r="Z47" s="26">
        <v>59392.76</v>
      </c>
      <c r="AA47" s="26">
        <f t="shared" ref="AA47" si="793">AA46+Z47</f>
        <v>2939782.2399999993</v>
      </c>
      <c r="AB47" s="4">
        <f t="shared" ref="AB47" si="794">AA47/$D$4</f>
        <v>2.6131392506743401E-2</v>
      </c>
      <c r="AC47" s="2">
        <v>82250494.5</v>
      </c>
      <c r="AD47" s="8">
        <f t="shared" ref="AD47" si="795">+AC47/$AC$4</f>
        <v>0.82250494500000004</v>
      </c>
      <c r="AE47" s="2">
        <f t="shared" ref="AE47" si="796">AC47*$AE$2</f>
        <v>73111550.666666657</v>
      </c>
      <c r="AF47" s="2">
        <v>10000000</v>
      </c>
      <c r="AG47" s="8">
        <f t="shared" ref="AG47" si="797">+AF47/$AF$4</f>
        <v>1</v>
      </c>
      <c r="AH47" s="2">
        <v>2500000</v>
      </c>
      <c r="AI47" s="8">
        <f t="shared" ref="AI47" si="798">+AH47/$AH$4</f>
        <v>1</v>
      </c>
      <c r="AJ47" s="8">
        <f t="shared" ref="AJ47" si="799">+AC47/D47</f>
        <v>0.913431528294392</v>
      </c>
      <c r="AK47" s="2">
        <f>336232.25*3</f>
        <v>1008696.75</v>
      </c>
      <c r="AL47" s="4">
        <f t="shared" ref="AL47" si="800">((+D47+AK47)-AC47)/D47</f>
        <v>9.7770537049276962E-2</v>
      </c>
      <c r="AM47" s="4">
        <f t="shared" ref="AM47" si="801">+T47/$D47</f>
        <v>0.91654480073352251</v>
      </c>
      <c r="AN47" s="4">
        <f t="shared" ref="AN47" si="802">+U47/$D47</f>
        <v>4.0285008957722045E-2</v>
      </c>
      <c r="AO47" s="4">
        <f t="shared" ref="AO47" si="803">+V47/$D47</f>
        <v>1.5620229344475201E-2</v>
      </c>
      <c r="AP47" s="4">
        <f t="shared" ref="AP47" si="804">+W47/$D47</f>
        <v>5.168436599619089E-3</v>
      </c>
      <c r="AQ47" s="4">
        <f t="shared" ref="AQ47" si="805">+X47/$D47</f>
        <v>1.8276072461588849E-3</v>
      </c>
      <c r="AR47" s="4">
        <f t="shared" ref="AR47" si="806">+Y47/$D47</f>
        <v>9.7708266936191116E-4</v>
      </c>
      <c r="AS47" s="4">
        <f t="shared" ref="AS47" si="807">+Z47/$D47</f>
        <v>6.5958532974439484E-4</v>
      </c>
    </row>
    <row r="48" spans="1:45" x14ac:dyDescent="0.25">
      <c r="A48">
        <f t="shared" si="6"/>
        <v>44</v>
      </c>
      <c r="B48" s="3">
        <f t="shared" si="15"/>
        <v>45864</v>
      </c>
      <c r="C48" s="41">
        <v>2666</v>
      </c>
      <c r="D48" s="2">
        <v>89693885.159999996</v>
      </c>
      <c r="E48" s="32">
        <v>1.8499999999999999E-2</v>
      </c>
      <c r="F48" s="8">
        <f t="shared" ref="F48" si="808">+D48/$D$4</f>
        <v>0.7972788210907511</v>
      </c>
      <c r="G48" s="2">
        <v>102161.57</v>
      </c>
      <c r="H48" s="8"/>
      <c r="I48" s="8"/>
      <c r="J48" s="8"/>
      <c r="K48" s="8"/>
      <c r="L48" s="8"/>
      <c r="M48" s="8"/>
      <c r="N48" s="6">
        <f t="shared" ref="N48" si="809">G48/D47</f>
        <v>1.1345536532677565E-3</v>
      </c>
      <c r="O48" s="6">
        <f t="shared" ref="O48" si="810">1-(+N48-1)^12</f>
        <v>1.3530008319480813E-2</v>
      </c>
      <c r="P48" s="40">
        <f t="shared" ref="P48" si="811">AVERAGE(O46:O48)</f>
        <v>1.1432520075630004E-2</v>
      </c>
      <c r="Q48" s="20">
        <f t="shared" ref="Q48" si="812">AVERAGE(O43:O48)</f>
        <v>8.8359889901630986E-3</v>
      </c>
      <c r="R48" s="20">
        <f t="shared" ref="R48" si="813">AVERAGE(O37:O48)</f>
        <v>1.1000841724955746E-2</v>
      </c>
      <c r="S48" s="11"/>
      <c r="T48" s="26">
        <v>81837061</v>
      </c>
      <c r="U48" s="26">
        <v>3733464</v>
      </c>
      <c r="V48" s="26">
        <v>1720473</v>
      </c>
      <c r="W48" s="26">
        <v>390096</v>
      </c>
      <c r="X48" s="26">
        <v>90102</v>
      </c>
      <c r="Y48" s="26">
        <v>217487</v>
      </c>
      <c r="Z48" s="26">
        <v>33460.519999999997</v>
      </c>
      <c r="AA48" s="26">
        <f t="shared" ref="AA48" si="814">AA47+Z48</f>
        <v>2973242.7599999993</v>
      </c>
      <c r="AB48" s="4">
        <f t="shared" ref="AB48" si="815">AA48/$D$4</f>
        <v>2.6428819292204808E-2</v>
      </c>
      <c r="AC48" s="2">
        <v>82159013.689999998</v>
      </c>
      <c r="AD48" s="8">
        <f t="shared" ref="AD48" si="816">+AC48/$AC$4</f>
        <v>0.82159013689999993</v>
      </c>
      <c r="AE48" s="2">
        <f t="shared" ref="AE48" si="817">AC48*$AE$2</f>
        <v>73030234.391111106</v>
      </c>
      <c r="AF48" s="2">
        <v>10000000</v>
      </c>
      <c r="AG48" s="8">
        <f t="shared" ref="AG48" si="818">+AF48/$AF$4</f>
        <v>1</v>
      </c>
      <c r="AH48" s="2">
        <v>2500000</v>
      </c>
      <c r="AI48" s="8">
        <f t="shared" ref="AI48" si="819">+AH48/$AH$4</f>
        <v>1</v>
      </c>
      <c r="AJ48" s="8">
        <f t="shared" ref="AJ48" si="820">+AC48/D48</f>
        <v>0.91599347651672181</v>
      </c>
      <c r="AK48" s="2">
        <f>335856.19*3</f>
        <v>1007568.5700000001</v>
      </c>
      <c r="AL48" s="4">
        <f t="shared" ref="AL48" si="821">((+D48+AK48)-AC48)/D48</f>
        <v>9.5239937758985482E-2</v>
      </c>
      <c r="AM48" s="4">
        <f t="shared" ref="AM48" si="822">+T48/$D48</f>
        <v>0.91240401565854079</v>
      </c>
      <c r="AN48" s="4">
        <f t="shared" ref="AN48" si="823">+U48/$D48</f>
        <v>4.1624509779457967E-2</v>
      </c>
      <c r="AO48" s="4">
        <f t="shared" ref="AO48" si="824">+V48/$D48</f>
        <v>1.9181608611678964E-2</v>
      </c>
      <c r="AP48" s="4">
        <f t="shared" ref="AP48" si="825">+W48/$D48</f>
        <v>4.3491928051073844E-3</v>
      </c>
      <c r="AQ48" s="4">
        <f t="shared" ref="AQ48" si="826">+X48/$D48</f>
        <v>1.0045500854297033E-3</v>
      </c>
      <c r="AR48" s="4">
        <f t="shared" ref="AR48" si="827">+Y48/$D48</f>
        <v>2.4247695326391188E-3</v>
      </c>
      <c r="AS48" s="4">
        <f t="shared" ref="AS48" si="828">+Z48/$D48</f>
        <v>3.7305240976362675E-4</v>
      </c>
    </row>
    <row r="49" spans="1:45" x14ac:dyDescent="0.25">
      <c r="A49">
        <f t="shared" si="6"/>
        <v>45</v>
      </c>
      <c r="B49" s="3">
        <f t="shared" si="15"/>
        <v>45895</v>
      </c>
      <c r="C49" s="41">
        <v>2663</v>
      </c>
      <c r="D49" s="2">
        <v>89322952.310000002</v>
      </c>
      <c r="E49" s="32">
        <v>2.18E-2</v>
      </c>
      <c r="F49" s="8">
        <f t="shared" ref="F49" si="829">+D49/$D$4</f>
        <v>0.79398164085572975</v>
      </c>
      <c r="G49" s="2">
        <v>105171.66</v>
      </c>
      <c r="H49" s="8"/>
      <c r="I49" s="8"/>
      <c r="J49" s="8"/>
      <c r="K49" s="8"/>
      <c r="L49" s="8"/>
      <c r="M49" s="8"/>
      <c r="N49" s="6">
        <f t="shared" ref="N49" si="830">G49/D48</f>
        <v>1.172562207695542E-3</v>
      </c>
      <c r="O49" s="6">
        <f t="shared" ref="O49" si="831">1-(+N49-1)^12</f>
        <v>1.3980356692554596E-2</v>
      </c>
      <c r="P49" s="40">
        <f t="shared" ref="P49" si="832">AVERAGE(O47:O49)</f>
        <v>1.154968709847389E-2</v>
      </c>
      <c r="Q49" s="20">
        <f t="shared" ref="Q49" si="833">AVERAGE(O44:O49)</f>
        <v>1.0553982870693424E-2</v>
      </c>
      <c r="R49" s="20">
        <f t="shared" ref="R49" si="834">AVERAGE(O38:O49)</f>
        <v>1.0558112139302309E-2</v>
      </c>
      <c r="S49" s="11">
        <v>1897322</v>
      </c>
      <c r="T49" s="26">
        <v>81231403</v>
      </c>
      <c r="U49" s="26">
        <v>3967730</v>
      </c>
      <c r="V49" s="26">
        <v>1775933</v>
      </c>
      <c r="W49" s="26">
        <v>245955</v>
      </c>
      <c r="X49" s="26">
        <v>156472</v>
      </c>
      <c r="Y49" s="26">
        <v>164235</v>
      </c>
      <c r="Z49" s="26">
        <v>26063.35</v>
      </c>
      <c r="AA49" s="26">
        <f t="shared" ref="AA49" si="835">AA48+Z49</f>
        <v>2999306.1099999994</v>
      </c>
      <c r="AB49" s="4">
        <f t="shared" ref="AB49" si="836">AA49/$D$4</f>
        <v>2.6660493468483468E-2</v>
      </c>
      <c r="AC49" s="2">
        <v>80142595.920000002</v>
      </c>
      <c r="AD49" s="8">
        <f t="shared" ref="AD49" si="837">+AC49/$AC$4</f>
        <v>0.80142595920000004</v>
      </c>
      <c r="AE49" s="2">
        <f t="shared" ref="AE49" si="838">AC49*$AE$2</f>
        <v>71237863.039999992</v>
      </c>
      <c r="AF49" s="2">
        <v>10000000</v>
      </c>
      <c r="AG49" s="8">
        <f t="shared" ref="AG49" si="839">+AF49/$AF$4</f>
        <v>1</v>
      </c>
      <c r="AH49" s="2">
        <v>2500000</v>
      </c>
      <c r="AI49" s="8">
        <f t="shared" ref="AI49" si="840">+AH49/$AH$4</f>
        <v>1</v>
      </c>
      <c r="AJ49" s="8">
        <f t="shared" ref="AJ49" si="841">+AC49/D49</f>
        <v>0.89722287326398376</v>
      </c>
      <c r="AK49" s="2">
        <f>335482.64*3</f>
        <v>1006447.92</v>
      </c>
      <c r="AL49" s="4">
        <f t="shared" ref="AL49" si="842">((+D49+AK49)-AC49)/D49</f>
        <v>0.11404464414304358</v>
      </c>
      <c r="AM49" s="4">
        <f t="shared" ref="AM49" si="843">+T49/$D49</f>
        <v>0.90941242871241135</v>
      </c>
      <c r="AN49" s="4">
        <f t="shared" ref="AN49" si="844">+U49/$D49</f>
        <v>4.4420049913148685E-2</v>
      </c>
      <c r="AO49" s="4">
        <f t="shared" ref="AO49" si="845">+V49/$D49</f>
        <v>1.9882157430673935E-2</v>
      </c>
      <c r="AP49" s="4">
        <f t="shared" ref="AP49" si="846">+W49/$D49</f>
        <v>2.7535475892735859E-3</v>
      </c>
      <c r="AQ49" s="4">
        <f t="shared" ref="AQ49" si="847">+X49/$D49</f>
        <v>1.7517558024387249E-3</v>
      </c>
      <c r="AR49" s="4">
        <f t="shared" ref="AR49" si="848">+Y49/$D49</f>
        <v>1.8386651555135996E-3</v>
      </c>
      <c r="AS49" s="4">
        <f t="shared" ref="AS49" si="849">+Z49/$D49</f>
        <v>2.9178782525622051E-4</v>
      </c>
    </row>
    <row r="50" spans="1:45" x14ac:dyDescent="0.25">
      <c r="A50">
        <f t="shared" si="6"/>
        <v>46</v>
      </c>
      <c r="B50" s="3">
        <f t="shared" si="15"/>
        <v>45926</v>
      </c>
      <c r="C50" s="41">
        <v>2659</v>
      </c>
      <c r="D50" s="2">
        <v>88993534.120000005</v>
      </c>
      <c r="E50" s="32">
        <v>2.1899999999999999E-2</v>
      </c>
      <c r="F50" s="8">
        <f t="shared" ref="F50" si="850">+D50/$D$4</f>
        <v>0.79105347974752771</v>
      </c>
      <c r="G50" s="2">
        <v>82829.61</v>
      </c>
      <c r="H50" s="8"/>
      <c r="I50" s="8"/>
      <c r="J50" s="8"/>
      <c r="K50" s="8"/>
      <c r="L50" s="8"/>
      <c r="M50" s="8"/>
      <c r="N50" s="6">
        <f t="shared" ref="N50" si="851">G50/D49</f>
        <v>9.2730488477961947E-4</v>
      </c>
      <c r="O50" s="6">
        <f t="shared" ref="O50" si="852">1-(+N50-1)^12</f>
        <v>1.1071080649361353E-2</v>
      </c>
      <c r="P50" s="40">
        <f t="shared" ref="P50" si="853">AVERAGE(O48:O50)</f>
        <v>1.2860481887132255E-2</v>
      </c>
      <c r="Q50" s="20">
        <f t="shared" ref="Q50" si="854">AVERAGE(O45:O50)</f>
        <v>1.1019354709844073E-2</v>
      </c>
      <c r="R50" s="20">
        <f t="shared" ref="R50" si="855">AVERAGE(O39:O50)</f>
        <v>1.0873394596170963E-2</v>
      </c>
      <c r="S50" s="11">
        <v>2006277.34</v>
      </c>
      <c r="T50" s="26">
        <v>80934163</v>
      </c>
      <c r="U50" s="26">
        <v>3829601</v>
      </c>
      <c r="V50" s="26">
        <v>1964493</v>
      </c>
      <c r="W50" s="26">
        <v>318083</v>
      </c>
      <c r="X50" s="26">
        <v>143399</v>
      </c>
      <c r="Y50" s="26">
        <v>62154</v>
      </c>
      <c r="Z50" s="26">
        <v>79077.69</v>
      </c>
      <c r="AA50" s="26">
        <f t="shared" ref="AA50" si="856">AA49+Z50</f>
        <v>3078383.7999999993</v>
      </c>
      <c r="AB50" s="4">
        <f t="shared" ref="AB50" si="857">AA50/$D$4</f>
        <v>2.7363406129088077E-2</v>
      </c>
      <c r="AC50" s="2">
        <v>78044476.030000001</v>
      </c>
      <c r="AD50" s="8">
        <f t="shared" ref="AD50" si="858">+AC50/$AC$4</f>
        <v>0.78044476029999998</v>
      </c>
      <c r="AE50" s="2">
        <f t="shared" ref="AE50" si="859">AC50*$AE$2</f>
        <v>69372867.582222223</v>
      </c>
      <c r="AF50" s="2">
        <v>10000000</v>
      </c>
      <c r="AG50" s="8">
        <f t="shared" ref="AG50" si="860">+AF50/$AF$4</f>
        <v>1</v>
      </c>
      <c r="AH50" s="2">
        <v>2500000</v>
      </c>
      <c r="AI50" s="8">
        <f t="shared" ref="AI50" si="861">+AH50/$AH$4</f>
        <v>1</v>
      </c>
      <c r="AJ50" s="8">
        <f t="shared" ref="AJ50" si="862">+AC50/D50</f>
        <v>0.87696793707241527</v>
      </c>
      <c r="AK50" s="2">
        <f>327248.93*3</f>
        <v>981746.79</v>
      </c>
      <c r="AL50" s="4">
        <f t="shared" ref="AL50" si="863">((+D50+AK50)-AC50)/D50</f>
        <v>0.13406372719070087</v>
      </c>
      <c r="AM50" s="4">
        <f t="shared" ref="AM50" si="864">+T50/$D50</f>
        <v>0.9094386890048366</v>
      </c>
      <c r="AN50" s="4">
        <f t="shared" ref="AN50" si="865">+U50/$D50</f>
        <v>4.3032351033909025E-2</v>
      </c>
      <c r="AO50" s="4">
        <f t="shared" ref="AO50" si="866">+V50/$D50</f>
        <v>2.2074558780316028E-2</v>
      </c>
      <c r="AP50" s="4">
        <f t="shared" ref="AP50" si="867">+W50/$D50</f>
        <v>3.5742259608556827E-3</v>
      </c>
      <c r="AQ50" s="4">
        <f t="shared" ref="AQ50" si="868">+X50/$D50</f>
        <v>1.6113417836248528E-3</v>
      </c>
      <c r="AR50" s="4">
        <f t="shared" ref="AR50" si="869">+Y50/$D50</f>
        <v>6.9841029030480754E-4</v>
      </c>
      <c r="AS50" s="4">
        <f t="shared" ref="AS50" si="870">+Z50/$D50</f>
        <v>8.8857792627238116E-4</v>
      </c>
    </row>
    <row r="51" spans="1:45" x14ac:dyDescent="0.25">
      <c r="A51">
        <f t="shared" si="6"/>
        <v>47</v>
      </c>
      <c r="B51" s="3">
        <f t="shared" si="15"/>
        <v>45957</v>
      </c>
      <c r="C51" s="41">
        <v>2659</v>
      </c>
      <c r="D51" s="2">
        <v>88759895</v>
      </c>
      <c r="E51" s="32">
        <v>2.1899999999999999E-2</v>
      </c>
      <c r="F51" s="8">
        <f t="shared" ref="F51" si="871">+D51/$D$4</f>
        <v>0.78897668798160081</v>
      </c>
      <c r="G51" s="2">
        <v>0</v>
      </c>
      <c r="H51" s="8"/>
      <c r="I51" s="8"/>
      <c r="J51" s="8"/>
      <c r="K51" s="8"/>
      <c r="L51" s="8"/>
      <c r="M51" s="8"/>
      <c r="N51" s="6">
        <f t="shared" ref="N51" si="872">G51/D50</f>
        <v>0</v>
      </c>
      <c r="O51" s="6">
        <f t="shared" ref="O51" si="873">1-(+N51-1)^12</f>
        <v>0</v>
      </c>
      <c r="P51" s="40">
        <f t="shared" ref="P51" si="874">AVERAGE(O49:O51)</f>
        <v>8.3504791139719838E-3</v>
      </c>
      <c r="Q51" s="20">
        <f t="shared" ref="Q51" si="875">AVERAGE(O46:O51)</f>
        <v>9.891499594800993E-3</v>
      </c>
      <c r="R51" s="20">
        <f t="shared" ref="R51" si="876">AVERAGE(O40:O51)</f>
        <v>1.0479509551305777E-2</v>
      </c>
      <c r="S51" s="11">
        <v>1956414.75</v>
      </c>
      <c r="T51" s="26">
        <v>80107252</v>
      </c>
      <c r="U51" s="26">
        <v>4140175</v>
      </c>
      <c r="V51" s="26">
        <v>2486280</v>
      </c>
      <c r="W51" s="26">
        <v>166839</v>
      </c>
      <c r="X51" s="26">
        <v>82821</v>
      </c>
      <c r="Y51" s="26">
        <v>62069</v>
      </c>
      <c r="Z51" s="26">
        <v>19081.78</v>
      </c>
      <c r="AA51" s="26">
        <f t="shared" ref="AA51" si="877">AA50+Z51</f>
        <v>3097465.5799999991</v>
      </c>
      <c r="AB51" s="4">
        <f t="shared" ref="AB51" si="878">AA51/$D$4</f>
        <v>2.7533021917673602E-2</v>
      </c>
      <c r="AC51" s="2">
        <v>76059291.590000004</v>
      </c>
      <c r="AD51" s="8">
        <f t="shared" ref="AD51" si="879">+AC51/$AC$4</f>
        <v>0.7605929159</v>
      </c>
      <c r="AE51" s="2">
        <f t="shared" ref="AE51" si="880">AC51*$AE$2</f>
        <v>67608259.191111118</v>
      </c>
      <c r="AF51" s="2">
        <v>10000000</v>
      </c>
      <c r="AG51" s="8">
        <f t="shared" ref="AG51" si="881">+AF51/$AF$4</f>
        <v>1</v>
      </c>
      <c r="AH51" s="2">
        <v>2500000</v>
      </c>
      <c r="AI51" s="8">
        <f t="shared" ref="AI51" si="882">+AH51/$AH$4</f>
        <v>1</v>
      </c>
      <c r="AJ51" s="8">
        <f t="shared" ref="AJ51" si="883">+AC51/D51</f>
        <v>0.85691056292935008</v>
      </c>
      <c r="AK51" s="2">
        <f>318681.61*3</f>
        <v>956044.83</v>
      </c>
      <c r="AL51" s="4">
        <f t="shared" ref="AL51" si="884">((+D51+AK51)-AC51)/D51</f>
        <v>0.15386057227760347</v>
      </c>
      <c r="AM51" s="4">
        <f t="shared" ref="AM51" si="885">+T51/$D51</f>
        <v>0.90251629973199043</v>
      </c>
      <c r="AN51" s="4">
        <f t="shared" ref="AN51" si="886">+U51/$D51</f>
        <v>4.6644658603978748E-2</v>
      </c>
      <c r="AO51" s="4">
        <f t="shared" ref="AO51" si="887">+V51/$D51</f>
        <v>2.8011299472582747E-2</v>
      </c>
      <c r="AP51" s="4">
        <f t="shared" ref="AP51" si="888">+W51/$D51</f>
        <v>1.8796664867618421E-3</v>
      </c>
      <c r="AQ51" s="4">
        <f t="shared" ref="AQ51" si="889">+X51/$D51</f>
        <v>9.3309033319609043E-4</v>
      </c>
      <c r="AR51" s="4">
        <f t="shared" ref="AR51" si="890">+Y51/$D51</f>
        <v>6.9929104805723354E-4</v>
      </c>
      <c r="AS51" s="4">
        <f t="shared" ref="AS51" si="891">+Z51/$D51</f>
        <v>2.1498200285162571E-4</v>
      </c>
    </row>
    <row r="52" spans="1:45" x14ac:dyDescent="0.25">
      <c r="A52">
        <f t="shared" si="6"/>
        <v>48</v>
      </c>
      <c r="B52" s="3">
        <f t="shared" si="15"/>
        <v>45988</v>
      </c>
      <c r="C52" s="41">
        <v>2656</v>
      </c>
      <c r="D52" s="2">
        <v>88400523.620000005</v>
      </c>
      <c r="E52" s="32">
        <v>2.1899999999999999E-2</v>
      </c>
      <c r="F52" s="8">
        <f t="shared" ref="F52" si="892">+D52/$D$4</f>
        <v>0.78578227634842146</v>
      </c>
      <c r="G52" s="2">
        <v>82325.27</v>
      </c>
      <c r="H52" s="8"/>
      <c r="I52" s="8"/>
      <c r="J52" s="8"/>
      <c r="K52" s="8"/>
      <c r="L52" s="8"/>
      <c r="M52" s="8"/>
      <c r="N52" s="6">
        <f t="shared" ref="N52" si="893">G52/D51</f>
        <v>9.2750526575093408E-4</v>
      </c>
      <c r="O52" s="6">
        <f t="shared" ref="O52" si="894">1-(+N52-1)^12</f>
        <v>1.1073460804315483E-2</v>
      </c>
      <c r="P52" s="40">
        <f t="shared" ref="P52" si="895">AVERAGE(O50:O52)</f>
        <v>7.3815138178922783E-3</v>
      </c>
      <c r="Q52" s="20">
        <f t="shared" ref="Q52" si="896">AVERAGE(O47:O52)</f>
        <v>9.4656004581830846E-3</v>
      </c>
      <c r="R52" s="20">
        <f t="shared" ref="R52" si="897">AVERAGE(O41:O52)</f>
        <v>8.794198886820398E-3</v>
      </c>
      <c r="S52" s="11">
        <v>0</v>
      </c>
      <c r="T52" s="26">
        <v>79395488</v>
      </c>
      <c r="U52" s="26">
        <v>4277986</v>
      </c>
      <c r="V52" s="26">
        <v>2270641</v>
      </c>
      <c r="W52" s="26">
        <v>326896</v>
      </c>
      <c r="X52" s="26">
        <v>295669</v>
      </c>
      <c r="Y52" s="26">
        <v>53904</v>
      </c>
      <c r="Z52" s="26">
        <v>41032.04</v>
      </c>
      <c r="AA52" s="26">
        <f t="shared" ref="AA52" si="898">AA51+Z52</f>
        <v>3138497.6199999992</v>
      </c>
      <c r="AB52" s="4">
        <f t="shared" ref="AB52" si="899">AA52/$D$4</f>
        <v>2.78977510897882E-2</v>
      </c>
      <c r="AC52" s="2">
        <v>75919937.170000002</v>
      </c>
      <c r="AD52" s="8">
        <f t="shared" ref="AD52" si="900">+AC52/$AC$4</f>
        <v>0.75919937170000007</v>
      </c>
      <c r="AE52" s="2">
        <f t="shared" ref="AE52" si="901">AC52*$AE$2</f>
        <v>67484388.595555559</v>
      </c>
      <c r="AF52" s="2">
        <v>10000000</v>
      </c>
      <c r="AG52" s="8">
        <f t="shared" ref="AG52" si="902">+AF52/$AF$4</f>
        <v>1</v>
      </c>
      <c r="AH52" s="2">
        <v>2500000</v>
      </c>
      <c r="AI52" s="8">
        <f t="shared" ref="AI52" si="903">+AH52/$AH$4</f>
        <v>1</v>
      </c>
      <c r="AJ52" s="8">
        <f t="shared" ref="AJ52" si="904">+AC52/D52</f>
        <v>0.85881773162736841</v>
      </c>
      <c r="AK52" s="2">
        <f>326431.13*3</f>
        <v>979293.39</v>
      </c>
      <c r="AL52" s="4">
        <f t="shared" ref="AL52" si="905">((+D52+AK52)-AC52)/D52</f>
        <v>0.152260182279676</v>
      </c>
      <c r="AM52" s="4">
        <f t="shared" ref="AM52" si="906">+T52/$D52</f>
        <v>0.898133684606788</v>
      </c>
      <c r="AN52" s="4">
        <f t="shared" ref="AN52" si="907">+U52/$D52</f>
        <v>4.839322013961618E-2</v>
      </c>
      <c r="AO52" s="4">
        <f t="shared" ref="AO52" si="908">+V52/$D52</f>
        <v>2.5685832017925778E-2</v>
      </c>
      <c r="AP52" s="4">
        <f t="shared" ref="AP52" si="909">+W52/$D52</f>
        <v>3.6978966482732693E-3</v>
      </c>
      <c r="AQ52" s="4">
        <f t="shared" ref="AQ52" si="910">+X52/$D52</f>
        <v>3.3446521343127762E-3</v>
      </c>
      <c r="AR52" s="4">
        <f t="shared" ref="AR52" si="911">+Y52/$D52</f>
        <v>6.0977014380268443E-4</v>
      </c>
      <c r="AS52" s="4">
        <f t="shared" ref="AS52" si="912">+Z52/$D52</f>
        <v>4.6416059905234302E-4</v>
      </c>
    </row>
    <row r="53" spans="1:45" x14ac:dyDescent="0.25">
      <c r="A53">
        <f t="shared" si="6"/>
        <v>49</v>
      </c>
      <c r="B53" s="3">
        <f t="shared" si="15"/>
        <v>46019</v>
      </c>
      <c r="C53" s="41">
        <v>2652</v>
      </c>
      <c r="D53" s="2">
        <v>88024963.359999999</v>
      </c>
      <c r="E53" s="32">
        <v>2.2100000000000002E-2</v>
      </c>
      <c r="F53" s="8">
        <f t="shared" ref="F53" si="913">+D53/$D$4</f>
        <v>0.78244396358822377</v>
      </c>
      <c r="G53" s="2">
        <v>143769.28</v>
      </c>
      <c r="H53" s="8"/>
      <c r="I53" s="8"/>
      <c r="J53" s="8"/>
      <c r="K53" s="8"/>
      <c r="L53" s="8"/>
      <c r="M53" s="8"/>
      <c r="N53" s="6">
        <f t="shared" ref="N53" si="914">G53/D52</f>
        <v>1.6263396879639433E-3</v>
      </c>
      <c r="O53" s="6">
        <f t="shared" ref="O53" si="915">1-(+N53-1)^12</f>
        <v>1.9342450430245073E-2</v>
      </c>
      <c r="P53" s="40">
        <f t="shared" ref="P53" si="916">AVERAGE(O51:O53)</f>
        <v>1.0138637078186852E-2</v>
      </c>
      <c r="Q53" s="20">
        <f t="shared" ref="Q53" si="917">AVERAGE(O48:O53)</f>
        <v>1.1499559482659552E-2</v>
      </c>
      <c r="R53" s="20">
        <f t="shared" ref="R53" si="918">AVERAGE(O42:O53)</f>
        <v>9.4378924999225875E-3</v>
      </c>
      <c r="S53" s="11">
        <v>0</v>
      </c>
      <c r="T53" s="26">
        <v>76528092</v>
      </c>
      <c r="U53" s="26">
        <v>5817527</v>
      </c>
      <c r="V53" s="26">
        <v>2935364</v>
      </c>
      <c r="W53" s="26">
        <v>579721</v>
      </c>
      <c r="X53" s="26">
        <v>105003</v>
      </c>
      <c r="Y53" s="26">
        <v>226624</v>
      </c>
      <c r="Z53" s="26">
        <v>19645.7</v>
      </c>
      <c r="AA53" s="26">
        <f t="shared" ref="AA53" si="919">AA52+Z53</f>
        <v>3158143.3199999994</v>
      </c>
      <c r="AB53" s="4">
        <f t="shared" ref="AB53" si="920">AA53/$D$4</f>
        <v>2.8072379499601889E-2</v>
      </c>
      <c r="AC53" s="2">
        <v>75781648.060000002</v>
      </c>
      <c r="AD53" s="8">
        <f t="shared" ref="AD53" si="921">+AC53/$AC$4</f>
        <v>0.75781648060000006</v>
      </c>
      <c r="AE53" s="2">
        <f t="shared" ref="AE53" si="922">AC53*$AE$2</f>
        <v>67361464.942222223</v>
      </c>
      <c r="AF53" s="2">
        <v>10000000</v>
      </c>
      <c r="AG53" s="8">
        <f t="shared" ref="AG53" si="923">+AF53/$AF$4</f>
        <v>1</v>
      </c>
      <c r="AH53" s="2">
        <v>2500000</v>
      </c>
      <c r="AI53" s="8">
        <f t="shared" ref="AI53" si="924">+AH53/$AH$4</f>
        <v>1</v>
      </c>
      <c r="AJ53" s="8">
        <f t="shared" ref="AJ53" si="925">+AC53/D53</f>
        <v>0.86091087309030834</v>
      </c>
      <c r="AK53" s="2">
        <f>325823.06*3</f>
        <v>977469.17999999993</v>
      </c>
      <c r="AL53" s="4">
        <f t="shared" ref="AL53" si="926">((+D53+AK53)-AC53)/D53</f>
        <v>0.1501935811768568</v>
      </c>
      <c r="AM53" s="4">
        <f t="shared" ref="AM53" si="927">+T53/$D53</f>
        <v>0.86939078505513623</v>
      </c>
      <c r="AN53" s="4">
        <f t="shared" ref="AN53" si="928">+U53/$D53</f>
        <v>6.608951345094885E-2</v>
      </c>
      <c r="AO53" s="4">
        <f t="shared" ref="AO53" si="929">+V53/$D53</f>
        <v>3.334694941019286E-2</v>
      </c>
      <c r="AP53" s="4">
        <f t="shared" ref="AP53" si="930">+W53/$D53</f>
        <v>6.585870392573601E-3</v>
      </c>
      <c r="AQ53" s="4">
        <f t="shared" ref="AQ53" si="931">+X53/$D53</f>
        <v>1.1928775201026111E-3</v>
      </c>
      <c r="AR53" s="4">
        <f t="shared" ref="AR53" si="932">+Y53/$D53</f>
        <v>2.5745423951290358E-3</v>
      </c>
      <c r="AS53" s="4">
        <f t="shared" ref="AS53" si="933">+Z53/$D53</f>
        <v>2.2318327949372749E-4</v>
      </c>
    </row>
    <row r="54" spans="1:45" x14ac:dyDescent="0.25">
      <c r="A54">
        <f t="shared" si="6"/>
        <v>50</v>
      </c>
      <c r="B54" s="3">
        <f t="shared" si="15"/>
        <v>46050</v>
      </c>
      <c r="C54" s="41">
        <v>2649</v>
      </c>
      <c r="D54" s="2">
        <v>87625497.939999998</v>
      </c>
      <c r="E54" s="32">
        <v>2.2200000000000001E-2</v>
      </c>
      <c r="F54" s="8">
        <f t="shared" ref="F54" si="934">+D54/$D$4</f>
        <v>0.77889316055905411</v>
      </c>
      <c r="G54" s="2">
        <v>85388.33</v>
      </c>
      <c r="H54" s="8"/>
      <c r="I54" s="8"/>
      <c r="J54" s="8"/>
      <c r="K54" s="8"/>
      <c r="L54" s="8"/>
      <c r="M54" s="8"/>
      <c r="N54" s="6">
        <f t="shared" ref="N54" si="935">G54/D53</f>
        <v>9.7004675424610146E-4</v>
      </c>
      <c r="O54" s="6">
        <f t="shared" ref="O54" si="936">1-(+N54-1)^12</f>
        <v>1.1578656043864988E-2</v>
      </c>
      <c r="P54" s="40">
        <f t="shared" ref="P54" si="937">AVERAGE(O52:O54)</f>
        <v>1.3998189092808514E-2</v>
      </c>
      <c r="Q54" s="20">
        <f t="shared" ref="Q54" si="938">AVERAGE(O49:O54)</f>
        <v>1.1174334103390249E-2</v>
      </c>
      <c r="R54" s="20">
        <f t="shared" ref="R54" si="939">AVERAGE(O43:O54)</f>
        <v>1.0005161546776673E-2</v>
      </c>
      <c r="S54" s="11">
        <v>0</v>
      </c>
      <c r="T54" s="26">
        <v>76865431</v>
      </c>
      <c r="U54" s="26">
        <v>5117093</v>
      </c>
      <c r="V54" s="26">
        <v>3225838</v>
      </c>
      <c r="W54" s="26">
        <v>357542</v>
      </c>
      <c r="X54" s="26">
        <v>81306</v>
      </c>
      <c r="Y54" s="26">
        <v>56179</v>
      </c>
      <c r="Z54" s="26">
        <v>122385.65</v>
      </c>
      <c r="AA54" s="26">
        <f t="shared" ref="AA54" si="940">AA53+Z54</f>
        <v>3280528.9699999993</v>
      </c>
      <c r="AB54" s="4">
        <f t="shared" ref="AB54" si="941">AA54/$D$4</f>
        <v>2.9160251728309182E-2</v>
      </c>
      <c r="AC54" s="2">
        <v>75591874.650000006</v>
      </c>
      <c r="AD54" s="8">
        <f t="shared" ref="AD54" si="942">+AC54/$AC$4</f>
        <v>0.75591874650000002</v>
      </c>
      <c r="AE54" s="2">
        <f t="shared" ref="AE54" si="943">AC54*$AE$2</f>
        <v>67192777.466666669</v>
      </c>
      <c r="AF54" s="2">
        <v>10000000</v>
      </c>
      <c r="AG54" s="8">
        <f t="shared" ref="AG54" si="944">+AF54/$AF$4</f>
        <v>1</v>
      </c>
      <c r="AH54" s="2">
        <v>2500000</v>
      </c>
      <c r="AI54" s="8">
        <f t="shared" ref="AI54" si="945">+AH54/$AH$4</f>
        <v>1</v>
      </c>
      <c r="AJ54" s="8">
        <f t="shared" ref="AJ54" si="946">+AC54/D54</f>
        <v>0.86266984413327041</v>
      </c>
      <c r="AK54" s="2">
        <f>325229.57*3</f>
        <v>975688.71</v>
      </c>
      <c r="AL54" s="4">
        <f t="shared" ref="AL54" si="947">((+D54+AK54)-AC54)/D54</f>
        <v>0.14846491381889643</v>
      </c>
      <c r="AM54" s="4">
        <f t="shared" ref="AM54" si="948">+T54/$D54</f>
        <v>0.87720392816063919</v>
      </c>
      <c r="AN54" s="4">
        <f t="shared" ref="AN54" si="949">+U54/$D54</f>
        <v>5.8397305810505507E-2</v>
      </c>
      <c r="AO54" s="4">
        <f t="shared" ref="AO54" si="950">+V54/$D54</f>
        <v>3.6813919188326154E-2</v>
      </c>
      <c r="AP54" s="4">
        <f t="shared" ref="AP54" si="951">+W54/$D54</f>
        <v>4.0803420055292644E-3</v>
      </c>
      <c r="AQ54" s="4">
        <f t="shared" ref="AQ54" si="952">+X54/$D54</f>
        <v>9.2788060452076218E-4</v>
      </c>
      <c r="AR54" s="4">
        <f t="shared" ref="AR54" si="953">+Y54/$D54</f>
        <v>6.4112617127114722E-4</v>
      </c>
      <c r="AS54" s="4">
        <f t="shared" ref="AS54" si="954">+Z54/$D54</f>
        <v>1.3966899233348882E-3</v>
      </c>
    </row>
    <row r="55" spans="1:45" x14ac:dyDescent="0.25">
      <c r="A55">
        <f t="shared" si="6"/>
        <v>51</v>
      </c>
      <c r="B55" s="3">
        <f t="shared" si="15"/>
        <v>46081</v>
      </c>
      <c r="C55" s="41">
        <v>2646</v>
      </c>
      <c r="D55" s="2">
        <v>87323772.819999993</v>
      </c>
      <c r="E55" s="32">
        <v>2.2200000000000001E-2</v>
      </c>
      <c r="F55" s="8">
        <f t="shared" ref="F55" si="955">+D55/$D$4</f>
        <v>0.77621116002425783</v>
      </c>
      <c r="G55" s="2">
        <v>65436.08</v>
      </c>
      <c r="H55" s="8"/>
      <c r="I55" s="8"/>
      <c r="J55" s="8"/>
      <c r="K55" s="8"/>
      <c r="L55" s="8"/>
      <c r="M55" s="8"/>
      <c r="N55" s="6">
        <f t="shared" ref="N55" si="956">G55/D54</f>
        <v>7.4676985053832379E-4</v>
      </c>
      <c r="O55" s="6">
        <f t="shared" ref="O55" si="957">1-(+N55-1)^12</f>
        <v>8.9245237673295508E-3</v>
      </c>
      <c r="P55" s="40">
        <f t="shared" ref="P55" si="958">AVERAGE(O53:O55)</f>
        <v>1.3281876747146537E-2</v>
      </c>
      <c r="Q55" s="20">
        <f t="shared" ref="Q55" si="959">AVERAGE(O50:O55)</f>
        <v>1.0331695282519407E-2</v>
      </c>
      <c r="R55" s="20">
        <f t="shared" ref="R55" si="960">AVERAGE(O44:O55)</f>
        <v>1.0442839076606416E-2</v>
      </c>
      <c r="S55" s="11">
        <v>0</v>
      </c>
      <c r="T55" s="26">
        <v>75737542</v>
      </c>
      <c r="U55" s="26">
        <v>5696352</v>
      </c>
      <c r="V55" s="26">
        <v>3017672</v>
      </c>
      <c r="W55" s="26">
        <v>718287</v>
      </c>
      <c r="X55" s="26">
        <v>173746</v>
      </c>
      <c r="Y55" s="26">
        <v>86646</v>
      </c>
      <c r="Z55" s="26">
        <v>56179.39</v>
      </c>
      <c r="AA55" s="26">
        <f t="shared" ref="AA55" si="961">AA54+Z55</f>
        <v>3336708.3599999994</v>
      </c>
      <c r="AB55" s="4">
        <f t="shared" ref="AB55" si="962">AA55/$D$4</f>
        <v>2.9659623984833672E-2</v>
      </c>
      <c r="AC55" s="2">
        <v>75525980.430000007</v>
      </c>
      <c r="AD55" s="8">
        <f t="shared" ref="AD55" si="963">+AC55/$AC$4</f>
        <v>0.75525980430000006</v>
      </c>
      <c r="AE55" s="2">
        <f t="shared" ref="AE55" si="964">AC55*$AE$2</f>
        <v>67134204.826666668</v>
      </c>
      <c r="AF55" s="2">
        <v>10000000</v>
      </c>
      <c r="AG55" s="8">
        <f t="shared" ref="AG55" si="965">+AF55/$AF$4</f>
        <v>1</v>
      </c>
      <c r="AH55" s="2">
        <v>2500000</v>
      </c>
      <c r="AI55" s="8">
        <f t="shared" ref="AI55" si="966">+AH55/$AH$4</f>
        <v>1</v>
      </c>
      <c r="AJ55" s="8">
        <f t="shared" ref="AJ55" si="967">+AC55/D55</f>
        <v>0.86489598411742119</v>
      </c>
      <c r="AK55" s="2">
        <f>324415.13*3</f>
        <v>973245.39</v>
      </c>
      <c r="AL55" s="4">
        <f t="shared" ref="AL55" si="968">((+D55+AK55)-AC55)/D55</f>
        <v>0.14624926715345724</v>
      </c>
      <c r="AM55" s="4">
        <f t="shared" ref="AM55" si="969">+T55/$D55</f>
        <v>0.86731871006211991</v>
      </c>
      <c r="AN55" s="4">
        <f t="shared" ref="AN55" si="970">+U55/$D55</f>
        <v>6.5232545686520649E-2</v>
      </c>
      <c r="AO55" s="4">
        <f t="shared" ref="AO55" si="971">+V55/$D55</f>
        <v>3.4557279221321673E-2</v>
      </c>
      <c r="AP55" s="4">
        <f t="shared" ref="AP55" si="972">+W55/$D55</f>
        <v>8.2255607700391156E-3</v>
      </c>
      <c r="AQ55" s="4">
        <f t="shared" ref="AQ55" si="973">+X55/$D55</f>
        <v>1.989675828117753E-3</v>
      </c>
      <c r="AR55" s="4">
        <f t="shared" ref="AR55" si="974">+Y55/$D55</f>
        <v>9.9223839284409894E-4</v>
      </c>
      <c r="AS55" s="4">
        <f t="shared" ref="AS55" si="975">+Z55/$D55</f>
        <v>6.4334588607162289E-4</v>
      </c>
    </row>
    <row r="56" spans="1:45" x14ac:dyDescent="0.25">
      <c r="A56">
        <f t="shared" si="6"/>
        <v>52</v>
      </c>
      <c r="B56" s="3">
        <f t="shared" si="15"/>
        <v>46112</v>
      </c>
      <c r="C56" s="41">
        <v>2645</v>
      </c>
      <c r="D56" s="2">
        <v>87066747.819999993</v>
      </c>
      <c r="E56" s="32">
        <v>2.2200000000000001E-2</v>
      </c>
      <c r="F56" s="8">
        <f t="shared" ref="F56" si="976">+D56/$D$4</f>
        <v>0.77392649381066592</v>
      </c>
      <c r="G56" s="2">
        <v>30775.665000000001</v>
      </c>
      <c r="H56" s="8"/>
      <c r="I56" s="8"/>
      <c r="J56" s="8"/>
      <c r="K56" s="8"/>
      <c r="L56" s="8"/>
      <c r="M56" s="8"/>
      <c r="N56" s="6">
        <f t="shared" ref="N56" si="977">G56/D55</f>
        <v>3.5243169192240132E-4</v>
      </c>
      <c r="O56" s="6">
        <f t="shared" ref="O56" si="978">1-(+N56-1)^12</f>
        <v>4.2209921914753146E-3</v>
      </c>
      <c r="P56" s="40">
        <f t="shared" ref="P56" si="979">AVERAGE(O54:O56)</f>
        <v>8.2413906675566171E-3</v>
      </c>
      <c r="Q56" s="20">
        <f t="shared" ref="Q56" si="980">AVERAGE(O51:O56)</f>
        <v>9.1900138728717353E-3</v>
      </c>
      <c r="R56" s="20">
        <f t="shared" ref="R56" si="981">AVERAGE(O45:O56)</f>
        <v>1.0104684291357904E-2</v>
      </c>
      <c r="S56" s="11">
        <v>0</v>
      </c>
      <c r="T56" s="26">
        <v>75391574</v>
      </c>
      <c r="U56" s="26">
        <v>5650229</v>
      </c>
      <c r="V56" s="26">
        <v>3155108</v>
      </c>
      <c r="W56" s="26">
        <v>511521</v>
      </c>
      <c r="X56" s="26">
        <v>386181</v>
      </c>
      <c r="Y56" s="26">
        <v>117682</v>
      </c>
      <c r="Z56" s="26">
        <v>33885.71</v>
      </c>
      <c r="AA56" s="26">
        <f t="shared" ref="AA56" si="982">AA55+Z56</f>
        <v>3370594.0699999994</v>
      </c>
      <c r="AB56" s="4">
        <f t="shared" ref="AB56" si="983">AA56/$D$4</f>
        <v>2.9960830236212238E-2</v>
      </c>
      <c r="AC56" s="2">
        <v>75496539.650000006</v>
      </c>
      <c r="AD56" s="8">
        <f t="shared" ref="AD56" si="984">+AC56/$AC$4</f>
        <v>0.75496539650000005</v>
      </c>
      <c r="AE56" s="2">
        <f t="shared" ref="AE56" si="985">AC56*$AE$2</f>
        <v>67108035.244444445</v>
      </c>
      <c r="AF56" s="2">
        <v>10000000</v>
      </c>
      <c r="AG56" s="8">
        <f t="shared" ref="AG56" si="986">+AF56/$AF$4</f>
        <v>1</v>
      </c>
      <c r="AH56" s="2">
        <v>2500000</v>
      </c>
      <c r="AI56" s="8">
        <f t="shared" ref="AI56" si="987">+AH56/$AH$4</f>
        <v>1</v>
      </c>
      <c r="AJ56" s="8">
        <f t="shared" ref="AJ56" si="988">+AC56/D56</f>
        <v>0.86711105606103489</v>
      </c>
      <c r="AK56" s="2">
        <f>324132.33*3</f>
        <v>972396.99</v>
      </c>
      <c r="AL56" s="4">
        <f t="shared" ref="AL56" si="989">((+D56+AK56)-AC56)/D56</f>
        <v>0.14405735225037125</v>
      </c>
      <c r="AM56" s="4">
        <f t="shared" ref="AM56" si="990">+T56/$D56</f>
        <v>0.86590547927508432</v>
      </c>
      <c r="AN56" s="4">
        <f t="shared" ref="AN56" si="991">+U56/$D56</f>
        <v>6.4895372130829646E-2</v>
      </c>
      <c r="AO56" s="4">
        <f t="shared" ref="AO56" si="992">+V56/$D56</f>
        <v>3.6237806958436133E-2</v>
      </c>
      <c r="AP56" s="4">
        <f t="shared" ref="AP56" si="993">+W56/$D56</f>
        <v>5.8750442942638445E-3</v>
      </c>
      <c r="AQ56" s="4">
        <f t="shared" ref="AQ56" si="994">+X56/$D56</f>
        <v>4.4354591123396811E-3</v>
      </c>
      <c r="AR56" s="4">
        <f t="shared" ref="AR56" si="995">+Y56/$D56</f>
        <v>1.3516296743194469E-3</v>
      </c>
      <c r="AS56" s="4">
        <f t="shared" ref="AS56" si="996">+Z56/$D56</f>
        <v>3.8919232483628104E-4</v>
      </c>
    </row>
    <row r="57" spans="1:45" x14ac:dyDescent="0.25">
      <c r="A57">
        <f t="shared" si="6"/>
        <v>53</v>
      </c>
      <c r="B57" s="3">
        <f>+B56+30</f>
        <v>46142</v>
      </c>
      <c r="C57" s="41">
        <v>2643</v>
      </c>
      <c r="D57" s="2">
        <v>86683458.480000004</v>
      </c>
      <c r="E57" s="32">
        <v>2.2200000000000001E-2</v>
      </c>
      <c r="F57" s="8">
        <f t="shared" ref="F57" si="997">+D57/$D$4</f>
        <v>0.77051947813075949</v>
      </c>
      <c r="G57" s="2">
        <v>87564.79</v>
      </c>
      <c r="H57" s="8"/>
      <c r="I57" s="8"/>
      <c r="J57" s="8"/>
      <c r="K57" s="8"/>
      <c r="L57" s="8"/>
      <c r="M57" s="8"/>
      <c r="N57" s="6">
        <f t="shared" ref="N57" si="998">G57/D56</f>
        <v>1.0057202341016531E-3</v>
      </c>
      <c r="O57" s="6">
        <f t="shared" ref="O57" si="999">1-(+N57-1)^12</f>
        <v>1.2002108870108441E-2</v>
      </c>
      <c r="P57" s="40">
        <f t="shared" ref="P57" si="1000">AVERAGE(O55:O57)</f>
        <v>8.3825416096377694E-3</v>
      </c>
      <c r="Q57" s="20">
        <f t="shared" ref="Q57" si="1001">AVERAGE(O52:O57)</f>
        <v>1.1190365351223142E-2</v>
      </c>
      <c r="R57" s="20">
        <f t="shared" ref="R57" si="1002">AVERAGE(O46:O57)</f>
        <v>1.0540932473012068E-2</v>
      </c>
      <c r="S57" s="11">
        <v>0</v>
      </c>
      <c r="T57" s="26">
        <v>75556750</v>
      </c>
      <c r="U57" s="26">
        <v>5751915</v>
      </c>
      <c r="V57" s="26">
        <v>2562781</v>
      </c>
      <c r="W57" s="26">
        <v>466553</v>
      </c>
      <c r="X57" s="26">
        <v>223954</v>
      </c>
      <c r="Y57" s="26">
        <v>217837</v>
      </c>
      <c r="Z57" s="26">
        <v>50508</v>
      </c>
      <c r="AA57" s="26">
        <f t="shared" ref="AA57" si="1003">AA56+Z57</f>
        <v>3421102.0699999994</v>
      </c>
      <c r="AB57" s="4">
        <f t="shared" ref="AB57" si="1004">AA57/$D$4</f>
        <v>3.0409790147178498E-2</v>
      </c>
      <c r="AC57" s="2">
        <v>75320388.400000006</v>
      </c>
      <c r="AD57" s="8">
        <f t="shared" ref="AD57" si="1005">+AC57/$AC$4</f>
        <v>0.75320388400000005</v>
      </c>
      <c r="AE57" s="2">
        <f t="shared" ref="AE57" si="1006">AC57*$AE$2</f>
        <v>66951456.355555557</v>
      </c>
      <c r="AF57" s="2">
        <v>10000000</v>
      </c>
      <c r="AG57" s="8">
        <f t="shared" ref="AG57" si="1007">+AF57/$AF$4</f>
        <v>1</v>
      </c>
      <c r="AH57" s="2">
        <v>2500000</v>
      </c>
      <c r="AI57" s="8">
        <f t="shared" ref="AI57" si="1008">+AH57/$AH$4</f>
        <v>1</v>
      </c>
      <c r="AJ57" s="8">
        <f t="shared" ref="AJ57" si="1009">+AC57/D57</f>
        <v>0.86891305124123841</v>
      </c>
      <c r="AK57" s="2">
        <f>324005.98*3</f>
        <v>972017.94</v>
      </c>
      <c r="AL57" s="4">
        <f t="shared" ref="AL57" si="1010">((+D57+AK57)-AC57)/D57</f>
        <v>0.14230036775523905</v>
      </c>
      <c r="AM57" s="4">
        <f t="shared" ref="AM57" si="1011">+T57/$D57</f>
        <v>0.87163977216521416</v>
      </c>
      <c r="AN57" s="4">
        <f t="shared" ref="AN57" si="1012">+U57/$D57</f>
        <v>6.6355393530209777E-2</v>
      </c>
      <c r="AO57" s="4">
        <f t="shared" ref="AO57" si="1013">+V57/$D57</f>
        <v>2.9564821765750111E-2</v>
      </c>
      <c r="AP57" s="4">
        <f t="shared" ref="AP57" si="1014">+W57/$D57</f>
        <v>5.3822610239720094E-3</v>
      </c>
      <c r="AQ57" s="4">
        <f t="shared" ref="AQ57" si="1015">+X57/$D57</f>
        <v>2.5835840416043353E-3</v>
      </c>
      <c r="AR57" s="4">
        <f t="shared" ref="AR57" si="1016">+Y57/$D57</f>
        <v>2.5130169448679802E-3</v>
      </c>
      <c r="AS57" s="4">
        <f t="shared" ref="AS57" si="1017">+Z57/$D57</f>
        <v>5.8267172175246594E-4</v>
      </c>
    </row>
    <row r="58" spans="1:45" x14ac:dyDescent="0.25">
      <c r="A58">
        <f t="shared" si="6"/>
        <v>54</v>
      </c>
      <c r="B58" s="3">
        <f>+B57+30</f>
        <v>46172</v>
      </c>
      <c r="C58" s="41">
        <v>2641</v>
      </c>
      <c r="D58" s="2">
        <v>86332500.5</v>
      </c>
      <c r="E58" s="32">
        <v>2.2200000000000001E-2</v>
      </c>
      <c r="F58" s="8">
        <f t="shared" ref="F58" si="1018">+D58/$D$4</f>
        <v>0.76739985226052709</v>
      </c>
      <c r="G58" s="2">
        <v>73843.55</v>
      </c>
      <c r="H58" s="8"/>
      <c r="I58" s="8"/>
      <c r="J58" s="8"/>
      <c r="K58" s="8"/>
      <c r="L58" s="8"/>
      <c r="M58" s="8"/>
      <c r="N58" s="6">
        <f t="shared" ref="N58" si="1019">G58/D57</f>
        <v>8.5187590913942963E-4</v>
      </c>
      <c r="O58" s="6">
        <f t="shared" ref="O58" si="1020">1-(+N58-1)^12</f>
        <v>1.0174750944086708E-2</v>
      </c>
      <c r="P58" s="40">
        <f t="shared" ref="P58" si="1021">AVERAGE(O56:O58)</f>
        <v>8.7992840018901539E-3</v>
      </c>
      <c r="Q58" s="20">
        <f t="shared" ref="Q58" si="1022">AVERAGE(O53:O58)</f>
        <v>1.1040580374518346E-2</v>
      </c>
      <c r="R58" s="20">
        <f t="shared" ref="R58" si="1023">AVERAGE(O47:O58)</f>
        <v>1.0253090416350715E-2</v>
      </c>
      <c r="S58" s="11">
        <v>0</v>
      </c>
      <c r="T58" s="26">
        <v>75560792</v>
      </c>
      <c r="U58" s="26">
        <v>5374887</v>
      </c>
      <c r="V58" s="26">
        <v>2562328</v>
      </c>
      <c r="W58" s="26">
        <v>575556</v>
      </c>
      <c r="X58" s="26">
        <v>178297</v>
      </c>
      <c r="Y58" s="26">
        <v>161112</v>
      </c>
      <c r="Z58" s="26">
        <v>104845.65</v>
      </c>
      <c r="AA58" s="26">
        <f t="shared" ref="AA58" si="1024">AA57+Z58</f>
        <v>3525947.7199999993</v>
      </c>
      <c r="AB58" s="4">
        <f t="shared" ref="AB58" si="1025">AA58/$D$4</f>
        <v>3.1341751295693582E-2</v>
      </c>
      <c r="AC58" s="2">
        <v>75235347.799999997</v>
      </c>
      <c r="AD58" s="8">
        <f t="shared" ref="AD58" si="1026">+AC58/$AC$4</f>
        <v>0.75235347799999996</v>
      </c>
      <c r="AE58" s="2">
        <f t="shared" ref="AE58" si="1027">AC58*$AE$2</f>
        <v>66875864.711111106</v>
      </c>
      <c r="AF58" s="2">
        <v>10000000</v>
      </c>
      <c r="AG58" s="8">
        <f t="shared" ref="AG58" si="1028">+AF58/$AF$4</f>
        <v>1</v>
      </c>
      <c r="AH58" s="2">
        <v>2500000</v>
      </c>
      <c r="AI58" s="8">
        <f t="shared" ref="AI58" si="1029">+AH58/$AH$4</f>
        <v>1</v>
      </c>
      <c r="AJ58" s="8">
        <f t="shared" ref="AJ58" si="1030">+AC58/D58</f>
        <v>0.87146031175130845</v>
      </c>
      <c r="AK58" s="2">
        <f>323250*3</f>
        <v>969750</v>
      </c>
      <c r="AL58" s="4">
        <f t="shared" ref="AL58" si="1031">((+D58+AK58)-AC58)/D58</f>
        <v>0.13977242209033436</v>
      </c>
      <c r="AM58" s="4">
        <f t="shared" ref="AM58" si="1032">+T58/$D58</f>
        <v>0.87522997205438291</v>
      </c>
      <c r="AN58" s="4">
        <f t="shared" ref="AN58" si="1033">+U58/$D58</f>
        <v>6.2257978963553826E-2</v>
      </c>
      <c r="AO58" s="4">
        <f t="shared" ref="AO58" si="1034">+V58/$D58</f>
        <v>2.9679761215766015E-2</v>
      </c>
      <c r="AP58" s="4">
        <f t="shared" ref="AP58" si="1035">+W58/$D58</f>
        <v>6.6667361267961885E-3</v>
      </c>
      <c r="AQ58" s="4">
        <f t="shared" ref="AQ58" si="1036">+X58/$D58</f>
        <v>2.0652361389671553E-3</v>
      </c>
      <c r="AR58" s="4">
        <f t="shared" ref="AR58" si="1037">+Y58/$D58</f>
        <v>1.8661801646762217E-3</v>
      </c>
      <c r="AS58" s="4">
        <f t="shared" ref="AS58" si="1038">+Z58/$D58</f>
        <v>1.2144400937396686E-3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A6A0B-9B20-49EE-AEF3-76FBEBD2F455}">
  <dimension ref="A2:C3"/>
  <sheetViews>
    <sheetView workbookViewId="0">
      <selection activeCell="I17" sqref="I17"/>
    </sheetView>
  </sheetViews>
  <sheetFormatPr baseColWidth="10" defaultRowHeight="15" x14ac:dyDescent="0.25"/>
  <cols>
    <col min="2" max="2" width="19.28515625" bestFit="1" customWidth="1"/>
  </cols>
  <sheetData>
    <row r="2" spans="1:3" s="36" customFormat="1" x14ac:dyDescent="0.25">
      <c r="A2" s="46">
        <v>45108</v>
      </c>
      <c r="B2" s="36" t="s">
        <v>66</v>
      </c>
      <c r="C2" s="36" t="s">
        <v>67</v>
      </c>
    </row>
    <row r="3" spans="1:3" x14ac:dyDescent="0.25">
      <c r="A3" s="15">
        <f>DATE(YEAR(A2),MONTH(A2)+1,15)</f>
        <v>45153</v>
      </c>
      <c r="B3" s="41" t="e">
        <f>'10th Trust (2010-1)'!C158+#REF!+'12th Trust (2014-1)'!C113+'13th Trust (2016-1)'!C86+'14th Trust (2019-1 &amp; 2019-2)'!C59+'15th Trust (2019-1 El Salvador)'!C59+'16th Trust (2021-1)'!C26</f>
        <v>#REF!</v>
      </c>
      <c r="C3" s="41" t="e">
        <f>'10th Trust (2010-1)'!D158+#REF!+'12th Trust (2014-1)'!D113+'13th Trust (2016-1)'!D86+'14th Trust (2019-1 &amp; 2019-2)'!D59+'15th Trust (2019-1 El Salvador)'!D59+'16th Trust (2021-1)'!D26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8th Trust (2007-1)</vt:lpstr>
      <vt:lpstr>10th Trust (2010-1)</vt:lpstr>
      <vt:lpstr>12th Trust (2014-1)</vt:lpstr>
      <vt:lpstr>13th Trust (2016-1)</vt:lpstr>
      <vt:lpstr>14th Trust (2019-1 &amp; 2019-2)</vt:lpstr>
      <vt:lpstr>15th Trust (2019-1 El Salvador)</vt:lpstr>
      <vt:lpstr>16th Trust (2021-1)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Regan</dc:creator>
  <cp:lastModifiedBy>Emilio Pimentel</cp:lastModifiedBy>
  <cp:lastPrinted>2019-02-26T22:07:37Z</cp:lastPrinted>
  <dcterms:created xsi:type="dcterms:W3CDTF">2012-09-04T20:51:24Z</dcterms:created>
  <dcterms:modified xsi:type="dcterms:W3CDTF">2026-05-08T14:53:30Z</dcterms:modified>
</cp:coreProperties>
</file>